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xr:revisionPtr revIDLastSave="16" documentId="8_{99BAB58B-288F-4D32-9BA9-4D703AA43338}" xr6:coauthVersionLast="47" xr6:coauthVersionMax="47" xr10:uidLastSave="{30B562C2-7D9A-4CB7-88E3-B75068E3857E}"/>
  <bookViews>
    <workbookView xWindow="-110" yWindow="-110" windowWidth="19420" windowHeight="11500" tabRatio="686" xr2:uid="{00000000-000D-0000-FFFF-FFFF00000000}"/>
  </bookViews>
  <sheets>
    <sheet name="Summary" sheetId="1" r:id="rId1"/>
    <sheet name="Update Monthly &gt;&gt;" sheetId="9" r:id="rId2"/>
    <sheet name="Tracking &amp; Banking" sheetId="8" r:id="rId3"/>
    <sheet name="Inventory" sheetId="7" r:id="rId4"/>
    <sheet name="Income Stmt" sheetId="2" r:id="rId5"/>
    <sheet name="Balance Sheet" sheetId="10" r:id="rId6"/>
    <sheet name="Covenants" sheetId="6" r:id="rId7"/>
    <sheet name="Heat Map" sheetId="4" r:id="rId8"/>
    <sheet name="&gt;&gt;" sheetId="16" r:id="rId9"/>
    <sheet name="Budget" sheetId="14" r:id="rId10"/>
    <sheet name="Graph Support" sheetId="11" r:id="rId11"/>
    <sheet name="Quarterly PR" sheetId="12" r:id="rId12"/>
    <sheet name="Lists" sheetId="3" r:id="rId13"/>
    <sheet name="Ratio Analysis" sheetId="15" state="hidden" r:id="rId14"/>
  </sheets>
  <externalReferences>
    <externalReference r:id="rId15"/>
  </externalReferences>
  <definedNames>
    <definedName name="Dates12">[1]Data!$G$2:$G$14</definedName>
    <definedName name="_xlnm.Print_Area" localSheetId="0">Summary!$A$1:$Q$137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S26" i="7" l="1"/>
  <c r="DT26" i="7" s="1"/>
  <c r="DU4" i="7"/>
  <c r="DT4" i="7"/>
  <c r="DS4" i="7"/>
  <c r="DS15" i="7"/>
  <c r="DU6" i="7"/>
  <c r="DU64" i="7"/>
  <c r="DU59" i="7"/>
  <c r="DU58" i="7" s="1"/>
  <c r="DU56" i="7"/>
  <c r="DU55" i="7"/>
  <c r="DU52" i="7"/>
  <c r="DU54" i="7" s="1"/>
  <c r="DU51" i="7"/>
  <c r="DU16" i="7" s="1"/>
  <c r="DU48" i="7"/>
  <c r="DU49" i="7" s="1"/>
  <c r="DU45" i="7"/>
  <c r="DU47" i="7" s="1"/>
  <c r="DU44" i="7"/>
  <c r="DU38" i="7"/>
  <c r="DU36" i="7"/>
  <c r="DU31" i="7"/>
  <c r="DU30" i="7"/>
  <c r="DU25" i="7"/>
  <c r="DU19" i="7"/>
  <c r="DU17" i="7"/>
  <c r="DU15" i="7"/>
  <c r="DU13" i="7"/>
  <c r="DU11" i="7"/>
  <c r="DU8" i="7"/>
  <c r="DU10" i="7" s="1"/>
  <c r="DU3" i="7"/>
  <c r="DU5" i="7" s="1"/>
  <c r="DR9" i="7"/>
  <c r="AR99" i="6"/>
  <c r="AQ88" i="6"/>
  <c r="AR9" i="6"/>
  <c r="AQ9" i="2"/>
  <c r="AQ7" i="2"/>
  <c r="AR6" i="10"/>
  <c r="AR5" i="10"/>
  <c r="AR17" i="6" s="1"/>
  <c r="DQ4" i="7"/>
  <c r="DR4" i="7"/>
  <c r="DP4" i="7"/>
  <c r="DQ9" i="7"/>
  <c r="DP9" i="7"/>
  <c r="DR26" i="7"/>
  <c r="DQ26" i="7"/>
  <c r="DP26" i="7"/>
  <c r="DR37" i="7"/>
  <c r="DQ37" i="7"/>
  <c r="DP22" i="7"/>
  <c r="AQ21" i="6"/>
  <c r="AP10" i="2"/>
  <c r="AP9" i="2"/>
  <c r="AP7" i="2"/>
  <c r="AP5" i="2"/>
  <c r="AQ11" i="10"/>
  <c r="AQ5" i="10"/>
  <c r="AQ82" i="6"/>
  <c r="AQ23" i="6"/>
  <c r="AQ17" i="6"/>
  <c r="DN72" i="8"/>
  <c r="DO72" i="8" s="1"/>
  <c r="DP72" i="8" s="1"/>
  <c r="DQ72" i="8" s="1"/>
  <c r="DR72" i="8" s="1"/>
  <c r="DS72" i="8" s="1"/>
  <c r="DT72" i="8" s="1"/>
  <c r="DU72" i="8" s="1"/>
  <c r="DV72" i="8" s="1"/>
  <c r="DW72" i="8" s="1"/>
  <c r="DX72" i="8" s="1"/>
  <c r="DY72" i="8" s="1"/>
  <c r="DZ72" i="8" s="1"/>
  <c r="EA72" i="8" s="1"/>
  <c r="EB72" i="8" s="1"/>
  <c r="EC72" i="8" s="1"/>
  <c r="ED72" i="8" s="1"/>
  <c r="EE72" i="8" s="1"/>
  <c r="EF72" i="8" s="1"/>
  <c r="EG72" i="8" s="1"/>
  <c r="EH72" i="8" s="1"/>
  <c r="EI72" i="8" s="1"/>
  <c r="EJ72" i="8" s="1"/>
  <c r="EK72" i="8" s="1"/>
  <c r="EL72" i="8" s="1"/>
  <c r="EM72" i="8" s="1"/>
  <c r="EN72" i="8" s="1"/>
  <c r="EO72" i="8" s="1"/>
  <c r="EP72" i="8" s="1"/>
  <c r="EQ72" i="8" s="1"/>
  <c r="ER72" i="8" s="1"/>
  <c r="ES72" i="8" s="1"/>
  <c r="ET72" i="8" s="1"/>
  <c r="DN62" i="8"/>
  <c r="DO62" i="8" s="1"/>
  <c r="DP62" i="8" s="1"/>
  <c r="DQ62" i="8" s="1"/>
  <c r="DR62" i="8" s="1"/>
  <c r="DS62" i="8" s="1"/>
  <c r="DT62" i="8" s="1"/>
  <c r="DU62" i="8" s="1"/>
  <c r="DV62" i="8" s="1"/>
  <c r="DW62" i="8" s="1"/>
  <c r="DX62" i="8" s="1"/>
  <c r="DY62" i="8" s="1"/>
  <c r="DZ62" i="8" s="1"/>
  <c r="EA62" i="8" s="1"/>
  <c r="EB62" i="8" s="1"/>
  <c r="EC62" i="8" s="1"/>
  <c r="ED62" i="8" s="1"/>
  <c r="EE62" i="8" s="1"/>
  <c r="EF62" i="8" s="1"/>
  <c r="EG62" i="8" s="1"/>
  <c r="EH62" i="8" s="1"/>
  <c r="EI62" i="8" s="1"/>
  <c r="EJ62" i="8" s="1"/>
  <c r="EK62" i="8" s="1"/>
  <c r="EL62" i="8" s="1"/>
  <c r="EM62" i="8" s="1"/>
  <c r="EN62" i="8" s="1"/>
  <c r="EO62" i="8" s="1"/>
  <c r="EP62" i="8" s="1"/>
  <c r="EQ62" i="8" s="1"/>
  <c r="ER62" i="8" s="1"/>
  <c r="ES62" i="8" s="1"/>
  <c r="ET62" i="8" s="1"/>
  <c r="DN52" i="8"/>
  <c r="DO52" i="8" s="1"/>
  <c r="DP52" i="8" s="1"/>
  <c r="DQ52" i="8" s="1"/>
  <c r="DR52" i="8" s="1"/>
  <c r="DS52" i="8" s="1"/>
  <c r="DT52" i="8" s="1"/>
  <c r="DU52" i="8" s="1"/>
  <c r="DV52" i="8" s="1"/>
  <c r="DW52" i="8" s="1"/>
  <c r="DX52" i="8" s="1"/>
  <c r="DY52" i="8" s="1"/>
  <c r="DZ52" i="8" s="1"/>
  <c r="EA52" i="8" s="1"/>
  <c r="EB52" i="8" s="1"/>
  <c r="EC52" i="8" s="1"/>
  <c r="ED52" i="8" s="1"/>
  <c r="EE52" i="8" s="1"/>
  <c r="EF52" i="8" s="1"/>
  <c r="EG52" i="8" s="1"/>
  <c r="EH52" i="8" s="1"/>
  <c r="EI52" i="8" s="1"/>
  <c r="EJ52" i="8" s="1"/>
  <c r="EK52" i="8" s="1"/>
  <c r="EL52" i="8" s="1"/>
  <c r="EM52" i="8" s="1"/>
  <c r="EN52" i="8" s="1"/>
  <c r="EO52" i="8" s="1"/>
  <c r="EP52" i="8" s="1"/>
  <c r="EQ52" i="8" s="1"/>
  <c r="ER52" i="8" s="1"/>
  <c r="ES52" i="8" s="1"/>
  <c r="ET52" i="8" s="1"/>
  <c r="DN42" i="8"/>
  <c r="DO42" i="8" s="1"/>
  <c r="DP42" i="8" s="1"/>
  <c r="DQ42" i="8" s="1"/>
  <c r="DR42" i="8" s="1"/>
  <c r="DS42" i="8" s="1"/>
  <c r="DT42" i="8" s="1"/>
  <c r="DU42" i="8" s="1"/>
  <c r="DV42" i="8" s="1"/>
  <c r="DW42" i="8" s="1"/>
  <c r="DX42" i="8" s="1"/>
  <c r="DY42" i="8" s="1"/>
  <c r="DZ42" i="8" s="1"/>
  <c r="EA42" i="8" s="1"/>
  <c r="EB42" i="8" s="1"/>
  <c r="EC42" i="8" s="1"/>
  <c r="ED42" i="8" s="1"/>
  <c r="EE42" i="8" s="1"/>
  <c r="EF42" i="8" s="1"/>
  <c r="EG42" i="8" s="1"/>
  <c r="EH42" i="8" s="1"/>
  <c r="EI42" i="8" s="1"/>
  <c r="EJ42" i="8" s="1"/>
  <c r="EK42" i="8" s="1"/>
  <c r="EL42" i="8" s="1"/>
  <c r="EM42" i="8" s="1"/>
  <c r="EN42" i="8" s="1"/>
  <c r="EO42" i="8" s="1"/>
  <c r="EP42" i="8" s="1"/>
  <c r="EQ42" i="8" s="1"/>
  <c r="ER42" i="8" s="1"/>
  <c r="ES42" i="8" s="1"/>
  <c r="ET42" i="8" s="1"/>
  <c r="DN25" i="8"/>
  <c r="ET16" i="8"/>
  <c r="ET20" i="8" s="1"/>
  <c r="ET22" i="8" s="1"/>
  <c r="ES16" i="8"/>
  <c r="ES20" i="8" s="1"/>
  <c r="ES22" i="8" s="1"/>
  <c r="ER16" i="8"/>
  <c r="ER20" i="8" s="1"/>
  <c r="ER22" i="8" s="1"/>
  <c r="EQ16" i="8"/>
  <c r="EQ20" i="8" s="1"/>
  <c r="EQ22" i="8" s="1"/>
  <c r="EP16" i="8"/>
  <c r="EP20" i="8" s="1"/>
  <c r="EP22" i="8" s="1"/>
  <c r="EO16" i="8"/>
  <c r="EO20" i="8" s="1"/>
  <c r="EO22" i="8" s="1"/>
  <c r="EN16" i="8"/>
  <c r="EN20" i="8" s="1"/>
  <c r="EN22" i="8" s="1"/>
  <c r="EM16" i="8"/>
  <c r="EM20" i="8" s="1"/>
  <c r="EM22" i="8" s="1"/>
  <c r="EL16" i="8"/>
  <c r="EL20" i="8" s="1"/>
  <c r="EL22" i="8" s="1"/>
  <c r="EK16" i="8"/>
  <c r="EK20" i="8" s="1"/>
  <c r="EK22" i="8" s="1"/>
  <c r="EJ16" i="8"/>
  <c r="EJ20" i="8" s="1"/>
  <c r="EJ22" i="8" s="1"/>
  <c r="EI16" i="8"/>
  <c r="EI20" i="8" s="1"/>
  <c r="EI22" i="8" s="1"/>
  <c r="EH16" i="8"/>
  <c r="EH20" i="8" s="1"/>
  <c r="EH22" i="8" s="1"/>
  <c r="EG16" i="8"/>
  <c r="EG20" i="8" s="1"/>
  <c r="EG22" i="8" s="1"/>
  <c r="EF16" i="8"/>
  <c r="EF20" i="8" s="1"/>
  <c r="EF22" i="8" s="1"/>
  <c r="EE16" i="8"/>
  <c r="EE20" i="8" s="1"/>
  <c r="EE22" i="8" s="1"/>
  <c r="ED16" i="8"/>
  <c r="ED20" i="8" s="1"/>
  <c r="ED22" i="8" s="1"/>
  <c r="EC16" i="8"/>
  <c r="EC20" i="8" s="1"/>
  <c r="EC22" i="8" s="1"/>
  <c r="EB16" i="8"/>
  <c r="EB20" i="8" s="1"/>
  <c r="EB22" i="8" s="1"/>
  <c r="EA16" i="8"/>
  <c r="EA20" i="8" s="1"/>
  <c r="EA22" i="8" s="1"/>
  <c r="DZ16" i="8"/>
  <c r="DZ20" i="8" s="1"/>
  <c r="DZ22" i="8" s="1"/>
  <c r="DY16" i="8"/>
  <c r="DY20" i="8" s="1"/>
  <c r="DY22" i="8" s="1"/>
  <c r="DX16" i="8"/>
  <c r="DX20" i="8" s="1"/>
  <c r="DX22" i="8" s="1"/>
  <c r="DW16" i="8"/>
  <c r="DW20" i="8" s="1"/>
  <c r="DW22" i="8" s="1"/>
  <c r="DV16" i="8"/>
  <c r="DV20" i="8" s="1"/>
  <c r="DV22" i="8" s="1"/>
  <c r="DU16" i="8"/>
  <c r="DU20" i="8" s="1"/>
  <c r="DU22" i="8" s="1"/>
  <c r="DT16" i="8"/>
  <c r="DT20" i="8" s="1"/>
  <c r="DT22" i="8" s="1"/>
  <c r="DS16" i="8"/>
  <c r="DS20" i="8" s="1"/>
  <c r="DS22" i="8" s="1"/>
  <c r="DR16" i="8"/>
  <c r="DR20" i="8" s="1"/>
  <c r="DR22" i="8" s="1"/>
  <c r="DQ16" i="8"/>
  <c r="DQ20" i="8" s="1"/>
  <c r="DQ22" i="8" s="1"/>
  <c r="DP16" i="8"/>
  <c r="DP20" i="8" s="1"/>
  <c r="DP22" i="8" s="1"/>
  <c r="DO16" i="8"/>
  <c r="DO20" i="8" s="1"/>
  <c r="DO22" i="8" s="1"/>
  <c r="DN16" i="8"/>
  <c r="DN20" i="8" s="1"/>
  <c r="DN22" i="8" s="1"/>
  <c r="DN15" i="8"/>
  <c r="DO15" i="8" s="1"/>
  <c r="DP15" i="8" s="1"/>
  <c r="DQ15" i="8" s="1"/>
  <c r="DR15" i="8" s="1"/>
  <c r="DS15" i="8" s="1"/>
  <c r="DT15" i="8" s="1"/>
  <c r="DU15" i="8" s="1"/>
  <c r="DV15" i="8" s="1"/>
  <c r="DW15" i="8" s="1"/>
  <c r="DX15" i="8" s="1"/>
  <c r="DY15" i="8" s="1"/>
  <c r="DZ15" i="8" s="1"/>
  <c r="EA15" i="8" s="1"/>
  <c r="EB15" i="8" s="1"/>
  <c r="EC15" i="8" s="1"/>
  <c r="ED15" i="8" s="1"/>
  <c r="EE15" i="8" s="1"/>
  <c r="EF15" i="8" s="1"/>
  <c r="EG15" i="8" s="1"/>
  <c r="EH15" i="8" s="1"/>
  <c r="EI15" i="8" s="1"/>
  <c r="EJ15" i="8" s="1"/>
  <c r="EK15" i="8" s="1"/>
  <c r="EL15" i="8" s="1"/>
  <c r="EM15" i="8" s="1"/>
  <c r="EN15" i="8" s="1"/>
  <c r="EO15" i="8" s="1"/>
  <c r="EP15" i="8" s="1"/>
  <c r="EQ15" i="8" s="1"/>
  <c r="ER15" i="8" s="1"/>
  <c r="ES15" i="8" s="1"/>
  <c r="ET15" i="8" s="1"/>
  <c r="ET12" i="8"/>
  <c r="ES12" i="8"/>
  <c r="ER12" i="8"/>
  <c r="EQ12" i="8"/>
  <c r="EP12" i="8"/>
  <c r="EO12" i="8"/>
  <c r="EN12" i="8"/>
  <c r="EM12" i="8"/>
  <c r="EL12" i="8"/>
  <c r="EK12" i="8"/>
  <c r="EJ12" i="8"/>
  <c r="EI12" i="8"/>
  <c r="EH12" i="8"/>
  <c r="EG12" i="8"/>
  <c r="EF12" i="8"/>
  <c r="EE12" i="8"/>
  <c r="ED12" i="8"/>
  <c r="EC12" i="8"/>
  <c r="EB12" i="8"/>
  <c r="EA12" i="8"/>
  <c r="DZ12" i="8"/>
  <c r="DY12" i="8"/>
  <c r="DX12" i="8"/>
  <c r="DW12" i="8"/>
  <c r="DV12" i="8"/>
  <c r="DU12" i="8"/>
  <c r="DT12" i="8"/>
  <c r="DS12" i="8"/>
  <c r="DR12" i="8"/>
  <c r="DQ12" i="8"/>
  <c r="DP12" i="8"/>
  <c r="DO12" i="8"/>
  <c r="DN12" i="8"/>
  <c r="DN8" i="8"/>
  <c r="DO8" i="8" s="1"/>
  <c r="DP8" i="8" s="1"/>
  <c r="DQ8" i="8" s="1"/>
  <c r="DR8" i="8" s="1"/>
  <c r="DS8" i="8" s="1"/>
  <c r="DT8" i="8" s="1"/>
  <c r="DU8" i="8" s="1"/>
  <c r="DV8" i="8" s="1"/>
  <c r="DW8" i="8" s="1"/>
  <c r="DX8" i="8" s="1"/>
  <c r="DY8" i="8" s="1"/>
  <c r="DZ8" i="8" s="1"/>
  <c r="EA8" i="8" s="1"/>
  <c r="EB8" i="8" s="1"/>
  <c r="EC8" i="8" s="1"/>
  <c r="ED8" i="8" s="1"/>
  <c r="EE8" i="8" s="1"/>
  <c r="EF8" i="8" s="1"/>
  <c r="EG8" i="8" s="1"/>
  <c r="EH8" i="8" s="1"/>
  <c r="EI8" i="8" s="1"/>
  <c r="EJ8" i="8" s="1"/>
  <c r="EK8" i="8" s="1"/>
  <c r="EL8" i="8" s="1"/>
  <c r="EM8" i="8" s="1"/>
  <c r="EN8" i="8" s="1"/>
  <c r="EO8" i="8" s="1"/>
  <c r="EP8" i="8" s="1"/>
  <c r="EQ8" i="8" s="1"/>
  <c r="ER8" i="8" s="1"/>
  <c r="ES8" i="8" s="1"/>
  <c r="ET8" i="8" s="1"/>
  <c r="DN25" i="7"/>
  <c r="DM4" i="7"/>
  <c r="DJ4" i="7"/>
  <c r="DG4" i="7"/>
  <c r="DM9" i="7"/>
  <c r="AP5" i="10"/>
  <c r="AP23" i="6"/>
  <c r="AP17" i="6"/>
  <c r="AP68" i="6"/>
  <c r="AO17" i="6"/>
  <c r="AO10" i="2"/>
  <c r="AO9" i="2"/>
  <c r="AO7" i="2"/>
  <c r="AO5" i="2"/>
  <c r="AP11" i="10"/>
  <c r="AP82" i="6"/>
  <c r="CU53" i="7"/>
  <c r="CV53" i="7"/>
  <c r="CW53" i="7"/>
  <c r="CX53" i="7"/>
  <c r="CY53" i="7"/>
  <c r="CZ53" i="7"/>
  <c r="DD53" i="7"/>
  <c r="CU46" i="7"/>
  <c r="CV46" i="7"/>
  <c r="CW46" i="7"/>
  <c r="CX46" i="7"/>
  <c r="CY46" i="7"/>
  <c r="CZ46" i="7"/>
  <c r="DJ46" i="7"/>
  <c r="DD9" i="7"/>
  <c r="AR74" i="6"/>
  <c r="AS74" i="6"/>
  <c r="AT74" i="6"/>
  <c r="AU74" i="6"/>
  <c r="AV74" i="6"/>
  <c r="AW74" i="6"/>
  <c r="AX74" i="6"/>
  <c r="AY74" i="6"/>
  <c r="AZ74" i="6"/>
  <c r="BA74" i="6"/>
  <c r="BB74" i="6"/>
  <c r="AQ74" i="6"/>
  <c r="AR10" i="6"/>
  <c r="AS10" i="6"/>
  <c r="AT10" i="6"/>
  <c r="AU10" i="6"/>
  <c r="AV10" i="6"/>
  <c r="AW10" i="6"/>
  <c r="AX10" i="6"/>
  <c r="AY10" i="6"/>
  <c r="AZ10" i="6"/>
  <c r="BA10" i="6"/>
  <c r="BB10" i="6"/>
  <c r="AQ10" i="6"/>
  <c r="AX33" i="6"/>
  <c r="AY33" i="6"/>
  <c r="AZ33" i="6"/>
  <c r="BA33" i="6"/>
  <c r="BB33" i="6"/>
  <c r="AW33" i="6"/>
  <c r="AR33" i="6"/>
  <c r="AS33" i="6"/>
  <c r="AT33" i="6"/>
  <c r="AU33" i="6"/>
  <c r="AQ33" i="6"/>
  <c r="AX91" i="6"/>
  <c r="AY91" i="6"/>
  <c r="AZ91" i="6"/>
  <c r="BA91" i="6"/>
  <c r="BB91" i="6"/>
  <c r="AW91" i="6"/>
  <c r="AR91" i="6"/>
  <c r="AS91" i="6"/>
  <c r="AT91" i="6"/>
  <c r="AU91" i="6"/>
  <c r="AQ91" i="6"/>
  <c r="AO102" i="6"/>
  <c r="AO101" i="6"/>
  <c r="AO97" i="6"/>
  <c r="AO88" i="6"/>
  <c r="AO89" i="6"/>
  <c r="AO91" i="6"/>
  <c r="AO82" i="6"/>
  <c r="AP73" i="6"/>
  <c r="AQ73" i="6"/>
  <c r="AR73" i="6"/>
  <c r="AS73" i="6"/>
  <c r="AT73" i="6"/>
  <c r="AU73" i="6"/>
  <c r="AV73" i="6"/>
  <c r="AW73" i="6"/>
  <c r="AX73" i="6"/>
  <c r="AY73" i="6"/>
  <c r="AZ73" i="6"/>
  <c r="BA73" i="6"/>
  <c r="BB73" i="6"/>
  <c r="AO73" i="6"/>
  <c r="AO74" i="6"/>
  <c r="AO33" i="6"/>
  <c r="AO23" i="6"/>
  <c r="AO18" i="6"/>
  <c r="AO10" i="6"/>
  <c r="AO7" i="6"/>
  <c r="AO6" i="6"/>
  <c r="AN10" i="2"/>
  <c r="AN9" i="2"/>
  <c r="AN7" i="2"/>
  <c r="AN5" i="2"/>
  <c r="AO11" i="10"/>
  <c r="AO5" i="10"/>
  <c r="AN23" i="6"/>
  <c r="AN50" i="6"/>
  <c r="AN97" i="6"/>
  <c r="AN102" i="6"/>
  <c r="AN101" i="6"/>
  <c r="AN91" i="6"/>
  <c r="AN82" i="6"/>
  <c r="AN73" i="6"/>
  <c r="AN74" i="6"/>
  <c r="AN33" i="6"/>
  <c r="AN18" i="6"/>
  <c r="BB109" i="6"/>
  <c r="BA109" i="6"/>
  <c r="AZ109" i="6"/>
  <c r="AY109" i="6"/>
  <c r="AX109" i="6"/>
  <c r="AW109" i="6"/>
  <c r="AV109" i="6"/>
  <c r="AU109" i="6"/>
  <c r="BB99" i="6"/>
  <c r="BA99" i="6"/>
  <c r="AZ99" i="6"/>
  <c r="AY99" i="6"/>
  <c r="AX99" i="6"/>
  <c r="AW99" i="6"/>
  <c r="AV99" i="6"/>
  <c r="AU99" i="6"/>
  <c r="BB89" i="6"/>
  <c r="BA89" i="6"/>
  <c r="AZ89" i="6"/>
  <c r="AY89" i="6"/>
  <c r="AX89" i="6"/>
  <c r="AW89" i="6"/>
  <c r="AV89" i="6"/>
  <c r="AU89" i="6"/>
  <c r="AT89" i="6"/>
  <c r="AS89" i="6"/>
  <c r="AQ89" i="6"/>
  <c r="BB88" i="6"/>
  <c r="BA88" i="6"/>
  <c r="AZ88" i="6"/>
  <c r="AY88" i="6"/>
  <c r="AX88" i="6"/>
  <c r="AW88" i="6"/>
  <c r="AV88" i="6"/>
  <c r="AU88" i="6"/>
  <c r="AT88" i="6"/>
  <c r="AS88" i="6"/>
  <c r="AQ87" i="6"/>
  <c r="AR87" i="6" s="1"/>
  <c r="AS87" i="6" s="1"/>
  <c r="AT87" i="6" s="1"/>
  <c r="AU87" i="6" s="1"/>
  <c r="AV87" i="6" s="1"/>
  <c r="AW87" i="6" s="1"/>
  <c r="AX87" i="6" s="1"/>
  <c r="AY87" i="6" s="1"/>
  <c r="AZ87" i="6" s="1"/>
  <c r="BA87" i="6" s="1"/>
  <c r="BB87" i="6" s="1"/>
  <c r="BB81" i="6"/>
  <c r="BA81" i="6"/>
  <c r="AZ81" i="6"/>
  <c r="AY81" i="6"/>
  <c r="AX81" i="6"/>
  <c r="AW81" i="6"/>
  <c r="AV81" i="6"/>
  <c r="AU81" i="6"/>
  <c r="AT81" i="6"/>
  <c r="AS81" i="6"/>
  <c r="AR81" i="6"/>
  <c r="AQ81" i="6"/>
  <c r="AQ79" i="6"/>
  <c r="AR79" i="6" s="1"/>
  <c r="AS79" i="6" s="1"/>
  <c r="AT79" i="6" s="1"/>
  <c r="AU79" i="6" s="1"/>
  <c r="AV79" i="6" s="1"/>
  <c r="AW79" i="6" s="1"/>
  <c r="AX79" i="6" s="1"/>
  <c r="AY79" i="6" s="1"/>
  <c r="AZ79" i="6" s="1"/>
  <c r="BA79" i="6" s="1"/>
  <c r="BB79" i="6" s="1"/>
  <c r="BB77" i="6"/>
  <c r="BA77" i="6"/>
  <c r="AZ77" i="6"/>
  <c r="AY77" i="6"/>
  <c r="AX77" i="6"/>
  <c r="AW77" i="6"/>
  <c r="AV77" i="6"/>
  <c r="AU77" i="6"/>
  <c r="AT77" i="6"/>
  <c r="AS77" i="6"/>
  <c r="AR77" i="6"/>
  <c r="AQ77" i="6"/>
  <c r="BB75" i="6"/>
  <c r="BB76" i="6" s="1"/>
  <c r="BA75" i="6"/>
  <c r="BA76" i="6" s="1"/>
  <c r="AZ75" i="6"/>
  <c r="AZ76" i="6" s="1"/>
  <c r="AY75" i="6"/>
  <c r="AY76" i="6" s="1"/>
  <c r="AX75" i="6"/>
  <c r="AX76" i="6" s="1"/>
  <c r="AW75" i="6"/>
  <c r="AW76" i="6" s="1"/>
  <c r="AV75" i="6"/>
  <c r="AV76" i="6" s="1"/>
  <c r="AU75" i="6"/>
  <c r="AU76" i="6" s="1"/>
  <c r="AT75" i="6"/>
  <c r="AT76" i="6" s="1"/>
  <c r="AS75" i="6"/>
  <c r="AS76" i="6" s="1"/>
  <c r="AR75" i="6"/>
  <c r="AR76" i="6" s="1"/>
  <c r="AQ75" i="6"/>
  <c r="AQ76" i="6" s="1"/>
  <c r="AQ70" i="6"/>
  <c r="AR70" i="6" s="1"/>
  <c r="AS70" i="6" s="1"/>
  <c r="AT70" i="6" s="1"/>
  <c r="AU70" i="6" s="1"/>
  <c r="AV70" i="6" s="1"/>
  <c r="AW70" i="6" s="1"/>
  <c r="AX70" i="6" s="1"/>
  <c r="AY70" i="6" s="1"/>
  <c r="AZ70" i="6" s="1"/>
  <c r="BA70" i="6" s="1"/>
  <c r="BB70" i="6" s="1"/>
  <c r="AQ65" i="6"/>
  <c r="BB58" i="6"/>
  <c r="BB61" i="6" s="1"/>
  <c r="BB64" i="6" s="1"/>
  <c r="BA58" i="6"/>
  <c r="BA61" i="6" s="1"/>
  <c r="BA64" i="6" s="1"/>
  <c r="AZ58" i="6"/>
  <c r="AZ61" i="6" s="1"/>
  <c r="AZ64" i="6" s="1"/>
  <c r="AY58" i="6"/>
  <c r="AY61" i="6" s="1"/>
  <c r="AY64" i="6" s="1"/>
  <c r="AX58" i="6"/>
  <c r="AX61" i="6" s="1"/>
  <c r="AX64" i="6" s="1"/>
  <c r="AW58" i="6"/>
  <c r="AW61" i="6" s="1"/>
  <c r="AW64" i="6" s="1"/>
  <c r="AV58" i="6"/>
  <c r="AV61" i="6" s="1"/>
  <c r="AV64" i="6" s="1"/>
  <c r="AU58" i="6"/>
  <c r="AU61" i="6" s="1"/>
  <c r="AU64" i="6" s="1"/>
  <c r="AT58" i="6"/>
  <c r="AT61" i="6" s="1"/>
  <c r="AT64" i="6" s="1"/>
  <c r="AS58" i="6"/>
  <c r="AS61" i="6" s="1"/>
  <c r="AS64" i="6" s="1"/>
  <c r="AR58" i="6"/>
  <c r="AQ58" i="6"/>
  <c r="AQ61" i="6" s="1"/>
  <c r="AQ64" i="6" s="1"/>
  <c r="AQ55" i="6"/>
  <c r="AR55" i="6" s="1"/>
  <c r="AS55" i="6" s="1"/>
  <c r="AT55" i="6" s="1"/>
  <c r="AU55" i="6" s="1"/>
  <c r="AV55" i="6" s="1"/>
  <c r="AW55" i="6" s="1"/>
  <c r="AX55" i="6" s="1"/>
  <c r="AY55" i="6" s="1"/>
  <c r="AZ55" i="6" s="1"/>
  <c r="BA55" i="6" s="1"/>
  <c r="BB55" i="6" s="1"/>
  <c r="BB51" i="6"/>
  <c r="BB52" i="6" s="1"/>
  <c r="BA51" i="6"/>
  <c r="BA52" i="6" s="1"/>
  <c r="AZ51" i="6"/>
  <c r="AZ52" i="6" s="1"/>
  <c r="AY51" i="6"/>
  <c r="AY52" i="6" s="1"/>
  <c r="AX51" i="6"/>
  <c r="AX52" i="6" s="1"/>
  <c r="AW51" i="6"/>
  <c r="AW52" i="6" s="1"/>
  <c r="AV51" i="6"/>
  <c r="AV52" i="6" s="1"/>
  <c r="AU51" i="6"/>
  <c r="AU52" i="6" s="1"/>
  <c r="AT51" i="6"/>
  <c r="AT52" i="6" s="1"/>
  <c r="AS51" i="6"/>
  <c r="AS52" i="6" s="1"/>
  <c r="AR51" i="6"/>
  <c r="AR52" i="6" s="1"/>
  <c r="BB49" i="6"/>
  <c r="BB53" i="6" s="1"/>
  <c r="BA49" i="6"/>
  <c r="BA53" i="6" s="1"/>
  <c r="AZ49" i="6"/>
  <c r="AZ53" i="6" s="1"/>
  <c r="AY49" i="6"/>
  <c r="AY53" i="6" s="1"/>
  <c r="AX49" i="6"/>
  <c r="AX53" i="6" s="1"/>
  <c r="AW49" i="6"/>
  <c r="AW53" i="6" s="1"/>
  <c r="AV49" i="6"/>
  <c r="AV53" i="6" s="1"/>
  <c r="AU49" i="6"/>
  <c r="AU53" i="6" s="1"/>
  <c r="AT49" i="6"/>
  <c r="AT53" i="6" s="1"/>
  <c r="AS49" i="6"/>
  <c r="AS53" i="6" s="1"/>
  <c r="AR49" i="6"/>
  <c r="AR53" i="6" s="1"/>
  <c r="AQ49" i="6"/>
  <c r="AQ46" i="6"/>
  <c r="AR46" i="6" s="1"/>
  <c r="AS46" i="6" s="1"/>
  <c r="AT46" i="6" s="1"/>
  <c r="AU46" i="6" s="1"/>
  <c r="AV46" i="6" s="1"/>
  <c r="AW46" i="6" s="1"/>
  <c r="AX46" i="6" s="1"/>
  <c r="AY46" i="6" s="1"/>
  <c r="AZ46" i="6" s="1"/>
  <c r="BA46" i="6" s="1"/>
  <c r="BB46" i="6" s="1"/>
  <c r="BB44" i="6"/>
  <c r="BA44" i="6"/>
  <c r="AZ44" i="6"/>
  <c r="AY44" i="6"/>
  <c r="AX44" i="6"/>
  <c r="AW44" i="6"/>
  <c r="AV44" i="6"/>
  <c r="AU44" i="6"/>
  <c r="AT44" i="6"/>
  <c r="AS44" i="6"/>
  <c r="AR44" i="6"/>
  <c r="AQ44" i="6"/>
  <c r="BB41" i="6"/>
  <c r="BA41" i="6"/>
  <c r="AZ41" i="6"/>
  <c r="AY41" i="6"/>
  <c r="AX41" i="6"/>
  <c r="AW41" i="6"/>
  <c r="AV41" i="6"/>
  <c r="AU41" i="6"/>
  <c r="AT41" i="6"/>
  <c r="AS41" i="6"/>
  <c r="AR41" i="6"/>
  <c r="AQ41" i="6"/>
  <c r="AQ38" i="6"/>
  <c r="AQ28" i="6"/>
  <c r="AR28" i="6" s="1"/>
  <c r="AS28" i="6" s="1"/>
  <c r="AT28" i="6" s="1"/>
  <c r="AU28" i="6" s="1"/>
  <c r="AV28" i="6" s="1"/>
  <c r="AW28" i="6" s="1"/>
  <c r="AX28" i="6" s="1"/>
  <c r="AY28" i="6" s="1"/>
  <c r="AZ28" i="6" s="1"/>
  <c r="BA28" i="6" s="1"/>
  <c r="BB28" i="6" s="1"/>
  <c r="BB19" i="6"/>
  <c r="BA19" i="6"/>
  <c r="AZ19" i="6"/>
  <c r="AY19" i="6"/>
  <c r="AX19" i="6"/>
  <c r="AW19" i="6"/>
  <c r="AV19" i="6"/>
  <c r="AU19" i="6"/>
  <c r="AT19" i="6"/>
  <c r="AS19" i="6"/>
  <c r="AR19" i="6"/>
  <c r="AQ19" i="6"/>
  <c r="BB17" i="6"/>
  <c r="BA17" i="6"/>
  <c r="AZ17" i="6"/>
  <c r="AY17" i="6"/>
  <c r="AX17" i="6"/>
  <c r="AW17" i="6"/>
  <c r="AV17" i="6"/>
  <c r="AU17" i="6"/>
  <c r="AT17" i="6"/>
  <c r="AS17" i="6"/>
  <c r="BB16" i="6"/>
  <c r="BB21" i="6" s="1"/>
  <c r="BA16" i="6"/>
  <c r="BA21" i="6" s="1"/>
  <c r="AZ16" i="6"/>
  <c r="AZ21" i="6" s="1"/>
  <c r="AY16" i="6"/>
  <c r="AY21" i="6" s="1"/>
  <c r="AX16" i="6"/>
  <c r="AX21" i="6" s="1"/>
  <c r="AW16" i="6"/>
  <c r="AW21" i="6" s="1"/>
  <c r="AV16" i="6"/>
  <c r="AV21" i="6" s="1"/>
  <c r="AU16" i="6"/>
  <c r="AU21" i="6" s="1"/>
  <c r="AT16" i="6"/>
  <c r="AT21" i="6" s="1"/>
  <c r="AS16" i="6"/>
  <c r="AS21" i="6" s="1"/>
  <c r="AR16" i="6"/>
  <c r="AQ16" i="6"/>
  <c r="AQ50" i="6" s="1"/>
  <c r="AQ51" i="6" s="1"/>
  <c r="AQ52" i="6" s="1"/>
  <c r="AQ15" i="6"/>
  <c r="AR15" i="6" s="1"/>
  <c r="AS15" i="6" s="1"/>
  <c r="AT15" i="6" s="1"/>
  <c r="AU15" i="6" s="1"/>
  <c r="AV15" i="6" s="1"/>
  <c r="AW15" i="6" s="1"/>
  <c r="AX15" i="6" s="1"/>
  <c r="AY15" i="6" s="1"/>
  <c r="AZ15" i="6" s="1"/>
  <c r="BA15" i="6" s="1"/>
  <c r="BB15" i="6" s="1"/>
  <c r="BB4" i="6"/>
  <c r="BB9" i="6" s="1"/>
  <c r="BA4" i="6"/>
  <c r="BA9" i="6" s="1"/>
  <c r="AZ4" i="6"/>
  <c r="AZ9" i="6" s="1"/>
  <c r="AY4" i="6"/>
  <c r="AY9" i="6" s="1"/>
  <c r="AX4" i="6"/>
  <c r="AX9" i="6" s="1"/>
  <c r="AW4" i="6"/>
  <c r="AW9" i="6" s="1"/>
  <c r="AV4" i="6"/>
  <c r="AV9" i="6" s="1"/>
  <c r="AU4" i="6"/>
  <c r="AU9" i="6" s="1"/>
  <c r="AT4" i="6"/>
  <c r="AT9" i="6" s="1"/>
  <c r="AS4" i="6"/>
  <c r="AS9" i="6" s="1"/>
  <c r="AR4" i="6"/>
  <c r="AQ4" i="6"/>
  <c r="AQ9" i="6" s="1"/>
  <c r="AQ3" i="6"/>
  <c r="AR3" i="6" s="1"/>
  <c r="AS3" i="6" s="1"/>
  <c r="AT3" i="6" s="1"/>
  <c r="AU3" i="6" s="1"/>
  <c r="AV3" i="6" s="1"/>
  <c r="AW3" i="6" s="1"/>
  <c r="AX3" i="6" s="1"/>
  <c r="AY3" i="6" s="1"/>
  <c r="AZ3" i="6" s="1"/>
  <c r="BA3" i="6" s="1"/>
  <c r="BB3" i="6" s="1"/>
  <c r="AN10" i="6"/>
  <c r="AN6" i="6"/>
  <c r="AN11" i="10"/>
  <c r="AN5" i="10"/>
  <c r="H95" i="1"/>
  <c r="AG85" i="6"/>
  <c r="AH85" i="6"/>
  <c r="AI85" i="6"/>
  <c r="AJ85" i="6"/>
  <c r="AK85" i="6"/>
  <c r="AL85" i="6"/>
  <c r="AF85" i="6"/>
  <c r="AG84" i="6"/>
  <c r="AH84" i="6"/>
  <c r="AI84" i="6"/>
  <c r="AJ84" i="6"/>
  <c r="AK84" i="6"/>
  <c r="AL84" i="6"/>
  <c r="AF84" i="6"/>
  <c r="AG83" i="6"/>
  <c r="AH83" i="6"/>
  <c r="AI83" i="6"/>
  <c r="AJ83" i="6"/>
  <c r="AK83" i="6"/>
  <c r="AL83" i="6"/>
  <c r="AF83" i="6"/>
  <c r="AH82" i="6"/>
  <c r="AI82" i="6"/>
  <c r="AJ82" i="6"/>
  <c r="AK82" i="6"/>
  <c r="AL82" i="6"/>
  <c r="AM82" i="6"/>
  <c r="AG82" i="6"/>
  <c r="AG77" i="6"/>
  <c r="AH77" i="6"/>
  <c r="AI77" i="6"/>
  <c r="AJ77" i="6"/>
  <c r="AK77" i="6"/>
  <c r="AL77" i="6"/>
  <c r="AM77" i="6"/>
  <c r="AN77" i="6"/>
  <c r="AO77" i="6"/>
  <c r="AP77" i="6"/>
  <c r="AF77" i="6"/>
  <c r="AG75" i="6"/>
  <c r="AH75" i="6"/>
  <c r="AI75" i="6"/>
  <c r="AJ75" i="6"/>
  <c r="AK75" i="6"/>
  <c r="AL75" i="6"/>
  <c r="AM75" i="6"/>
  <c r="AN75" i="6"/>
  <c r="AO75" i="6"/>
  <c r="AP75" i="6"/>
  <c r="AG76" i="6"/>
  <c r="AH76" i="6"/>
  <c r="AI76" i="6"/>
  <c r="AJ76" i="6"/>
  <c r="AK76" i="6"/>
  <c r="AL76" i="6"/>
  <c r="AM76" i="6"/>
  <c r="AN76" i="6"/>
  <c r="AO76" i="6"/>
  <c r="AP76" i="6"/>
  <c r="AF76" i="6"/>
  <c r="AF75" i="6"/>
  <c r="H96" i="1"/>
  <c r="H94" i="1"/>
  <c r="H93" i="1"/>
  <c r="H92" i="1"/>
  <c r="H91" i="1"/>
  <c r="H90" i="1"/>
  <c r="AI58" i="6"/>
  <c r="AI61" i="6" s="1"/>
  <c r="AI64" i="6" s="1"/>
  <c r="AJ58" i="6"/>
  <c r="AJ61" i="6" s="1"/>
  <c r="AJ64" i="6" s="1"/>
  <c r="AK58" i="6"/>
  <c r="AK61" i="6" s="1"/>
  <c r="AK64" i="6" s="1"/>
  <c r="AG81" i="6"/>
  <c r="AH81" i="6"/>
  <c r="AI81" i="6"/>
  <c r="AJ81" i="6"/>
  <c r="AK81" i="6"/>
  <c r="AL81" i="6"/>
  <c r="AM81" i="6"/>
  <c r="AN81" i="6"/>
  <c r="AO81" i="6"/>
  <c r="AP81" i="6"/>
  <c r="AF81" i="6"/>
  <c r="AG73" i="6"/>
  <c r="AH73" i="6"/>
  <c r="AI73" i="6"/>
  <c r="AJ73" i="6"/>
  <c r="AK73" i="6"/>
  <c r="AL73" i="6"/>
  <c r="AM73" i="6"/>
  <c r="AF73" i="6"/>
  <c r="AG74" i="6"/>
  <c r="AH74" i="6" s="1"/>
  <c r="AI74" i="6" s="1"/>
  <c r="AJ74" i="6" s="1"/>
  <c r="AK74" i="6" s="1"/>
  <c r="AL74" i="6" s="1"/>
  <c r="AM74" i="6" s="1"/>
  <c r="AM58" i="6"/>
  <c r="AN58" i="6"/>
  <c r="AN61" i="6" s="1"/>
  <c r="AN64" i="6" s="1"/>
  <c r="AO58" i="6"/>
  <c r="AO61" i="6" s="1"/>
  <c r="AO64" i="6" s="1"/>
  <c r="AP58" i="6"/>
  <c r="AP61" i="6" s="1"/>
  <c r="AP64" i="6" s="1"/>
  <c r="AL58" i="6"/>
  <c r="AC49" i="6"/>
  <c r="AD49" i="6"/>
  <c r="AE49" i="6"/>
  <c r="AF49" i="6"/>
  <c r="AG49" i="6"/>
  <c r="AH49" i="6"/>
  <c r="AI49" i="6"/>
  <c r="AJ49" i="6"/>
  <c r="AK49" i="6"/>
  <c r="AL49" i="6"/>
  <c r="AM49" i="6"/>
  <c r="AN49" i="6"/>
  <c r="AO49" i="6"/>
  <c r="AP49" i="6"/>
  <c r="AB49" i="6"/>
  <c r="C49" i="6"/>
  <c r="AL17" i="6"/>
  <c r="AM17" i="6"/>
  <c r="AM23" i="6"/>
  <c r="AM6" i="6"/>
  <c r="AL10" i="2"/>
  <c r="AL9" i="2"/>
  <c r="AL7" i="2"/>
  <c r="AL5" i="2"/>
  <c r="AM5" i="10"/>
  <c r="DG12" i="8"/>
  <c r="DH12" i="8"/>
  <c r="DI12" i="8"/>
  <c r="DJ12" i="8"/>
  <c r="DK12" i="8"/>
  <c r="DL12" i="8"/>
  <c r="DM12" i="8"/>
  <c r="CX16" i="8"/>
  <c r="CY16" i="8"/>
  <c r="CZ16" i="8"/>
  <c r="CZ20" i="8" s="1"/>
  <c r="DA16" i="8"/>
  <c r="DA20" i="8" s="1"/>
  <c r="DA22" i="8" s="1"/>
  <c r="DB16" i="8"/>
  <c r="DB20" i="8" s="1"/>
  <c r="DC16" i="8"/>
  <c r="DC20" i="8" s="1"/>
  <c r="DD16" i="8"/>
  <c r="DD20" i="8" s="1"/>
  <c r="DE16" i="8"/>
  <c r="DE20" i="8" s="1"/>
  <c r="DF16" i="8"/>
  <c r="DF20" i="8" s="1"/>
  <c r="DG16" i="8"/>
  <c r="DG20" i="8" s="1"/>
  <c r="DH16" i="8"/>
  <c r="DH20" i="8" s="1"/>
  <c r="DI16" i="8"/>
  <c r="DI20" i="8" s="1"/>
  <c r="DJ16" i="8"/>
  <c r="DJ20" i="8" s="1"/>
  <c r="DJ22" i="8" s="1"/>
  <c r="DK16" i="8"/>
  <c r="DK20" i="8" s="1"/>
  <c r="DK22" i="8" s="1"/>
  <c r="DL16" i="8"/>
  <c r="DL20" i="8" s="1"/>
  <c r="DL22" i="8" s="1"/>
  <c r="DM16" i="8"/>
  <c r="DM20" i="8" s="1"/>
  <c r="DM22" i="8" s="1"/>
  <c r="DB22" i="7"/>
  <c r="DC22" i="7"/>
  <c r="DA22" i="7"/>
  <c r="DB23" i="7"/>
  <c r="DB27" i="7" s="1"/>
  <c r="DC23" i="7"/>
  <c r="DA23" i="7"/>
  <c r="CZ14" i="7"/>
  <c r="DG17" i="7" s="1"/>
  <c r="AL23" i="6"/>
  <c r="AL6" i="6"/>
  <c r="AK10" i="2"/>
  <c r="AK9" i="2"/>
  <c r="AK7" i="2"/>
  <c r="AK5" i="2"/>
  <c r="AL5" i="10"/>
  <c r="CY23" i="7"/>
  <c r="CZ23" i="7"/>
  <c r="CX23" i="7"/>
  <c r="AK41" i="6"/>
  <c r="CV23" i="7"/>
  <c r="CW23" i="7"/>
  <c r="CU23" i="7"/>
  <c r="AJ23" i="6"/>
  <c r="AI23" i="6"/>
  <c r="AH23" i="6"/>
  <c r="AG23" i="6"/>
  <c r="AG17" i="6"/>
  <c r="AH17" i="6"/>
  <c r="AJ17" i="6"/>
  <c r="AK5" i="10"/>
  <c r="AJ5" i="10"/>
  <c r="AI5" i="10"/>
  <c r="AG5" i="10"/>
  <c r="AH5" i="10"/>
  <c r="AK17" i="6"/>
  <c r="AK23" i="6"/>
  <c r="AG15" i="10"/>
  <c r="AH15" i="10"/>
  <c r="AI15" i="10"/>
  <c r="AJ15" i="10"/>
  <c r="AK15" i="10"/>
  <c r="AS15" i="10"/>
  <c r="AT15" i="10"/>
  <c r="AU15" i="10"/>
  <c r="AV15" i="10"/>
  <c r="AW15" i="10"/>
  <c r="AX15" i="10"/>
  <c r="AY15" i="10"/>
  <c r="AZ15" i="10"/>
  <c r="BA15" i="10"/>
  <c r="BB15" i="10"/>
  <c r="CX4" i="7"/>
  <c r="CW5" i="7"/>
  <c r="CX9" i="7"/>
  <c r="CX31" i="7"/>
  <c r="CY31" i="7"/>
  <c r="CZ31" i="7"/>
  <c r="DA31" i="7"/>
  <c r="CY4" i="7"/>
  <c r="CZ22" i="7"/>
  <c r="CY22" i="7"/>
  <c r="CY14" i="7"/>
  <c r="CY9" i="7"/>
  <c r="CZ9" i="7" s="1"/>
  <c r="CZ37" i="7"/>
  <c r="CY37" i="7"/>
  <c r="N5" i="12"/>
  <c r="AK11" i="10"/>
  <c r="CK9" i="7"/>
  <c r="CJ9" i="7"/>
  <c r="CI9" i="7"/>
  <c r="CN9" i="7"/>
  <c r="CM9" i="7"/>
  <c r="CL9" i="7"/>
  <c r="CQ9" i="7"/>
  <c r="CP9" i="7"/>
  <c r="CO9" i="7"/>
  <c r="CT9" i="7"/>
  <c r="CS9" i="7"/>
  <c r="CR9" i="7"/>
  <c r="CW9" i="7"/>
  <c r="CV9" i="7"/>
  <c r="CU9" i="7"/>
  <c r="AH10" i="2"/>
  <c r="AG10" i="2"/>
  <c r="AF10" i="2"/>
  <c r="CW22" i="7"/>
  <c r="CV22" i="7"/>
  <c r="CV37" i="7"/>
  <c r="CW37" i="7" s="1"/>
  <c r="CW4" i="7"/>
  <c r="CV4" i="7"/>
  <c r="CU4" i="7"/>
  <c r="CW14" i="7"/>
  <c r="CV14" i="7"/>
  <c r="CY64" i="7"/>
  <c r="CZ64" i="7" s="1"/>
  <c r="DA64" i="7" s="1"/>
  <c r="DB64" i="7" s="1"/>
  <c r="DC64" i="7" s="1"/>
  <c r="DD64" i="7" s="1"/>
  <c r="DE64" i="7" s="1"/>
  <c r="DF64" i="7" s="1"/>
  <c r="DG64" i="7" s="1"/>
  <c r="DH64" i="7" s="1"/>
  <c r="DI64" i="7" s="1"/>
  <c r="DJ64" i="7" s="1"/>
  <c r="DK64" i="7" s="1"/>
  <c r="DL64" i="7" s="1"/>
  <c r="DM64" i="7" s="1"/>
  <c r="DN64" i="7" s="1"/>
  <c r="DO64" i="7" s="1"/>
  <c r="DP64" i="7" s="1"/>
  <c r="DQ64" i="7" s="1"/>
  <c r="DR64" i="7" s="1"/>
  <c r="DS64" i="7" s="1"/>
  <c r="DT64" i="7" s="1"/>
  <c r="CY59" i="7"/>
  <c r="CZ59" i="7" s="1"/>
  <c r="DA59" i="7" s="1"/>
  <c r="DB59" i="7" s="1"/>
  <c r="DC59" i="7" s="1"/>
  <c r="DD59" i="7" s="1"/>
  <c r="DE59" i="7" s="1"/>
  <c r="DF59" i="7" s="1"/>
  <c r="DG59" i="7" s="1"/>
  <c r="DH59" i="7" s="1"/>
  <c r="DI59" i="7" s="1"/>
  <c r="DJ59" i="7" s="1"/>
  <c r="DK59" i="7" s="1"/>
  <c r="DL59" i="7" s="1"/>
  <c r="DM59" i="7" s="1"/>
  <c r="DN59" i="7" s="1"/>
  <c r="DO59" i="7" s="1"/>
  <c r="DP59" i="7" s="1"/>
  <c r="DQ59" i="7" s="1"/>
  <c r="DR59" i="7" s="1"/>
  <c r="DS59" i="7" s="1"/>
  <c r="DT59" i="7" s="1"/>
  <c r="DT58" i="7"/>
  <c r="DS58" i="7"/>
  <c r="DR58" i="7"/>
  <c r="DQ58" i="7"/>
  <c r="DP58" i="7"/>
  <c r="DO58" i="7"/>
  <c r="DN58" i="7"/>
  <c r="DM58" i="7"/>
  <c r="DL58" i="7"/>
  <c r="DK58" i="7"/>
  <c r="DJ58" i="7"/>
  <c r="DI58" i="7"/>
  <c r="DH58" i="7"/>
  <c r="DG58" i="7"/>
  <c r="DF58" i="7"/>
  <c r="DE58" i="7"/>
  <c r="DD58" i="7"/>
  <c r="DC58" i="7"/>
  <c r="DB58" i="7"/>
  <c r="DA58" i="7"/>
  <c r="CZ58" i="7"/>
  <c r="CY58" i="7"/>
  <c r="DT56" i="7"/>
  <c r="DS56" i="7"/>
  <c r="DR56" i="7"/>
  <c r="DQ56" i="7"/>
  <c r="DP56" i="7"/>
  <c r="DO56" i="7"/>
  <c r="DN56" i="7"/>
  <c r="DM56" i="7"/>
  <c r="DL56" i="7"/>
  <c r="DK56" i="7"/>
  <c r="DJ56" i="7"/>
  <c r="DI56" i="7"/>
  <c r="DH56" i="7"/>
  <c r="DG56" i="7"/>
  <c r="DF56" i="7"/>
  <c r="DE56" i="7"/>
  <c r="DD56" i="7"/>
  <c r="DC56" i="7"/>
  <c r="DB56" i="7"/>
  <c r="DA56" i="7"/>
  <c r="CZ56" i="7"/>
  <c r="CY56" i="7"/>
  <c r="DT55" i="7"/>
  <c r="DS55" i="7"/>
  <c r="DR55" i="7"/>
  <c r="DQ55" i="7"/>
  <c r="DP55" i="7"/>
  <c r="DO55" i="7"/>
  <c r="DN55" i="7"/>
  <c r="DM55" i="7"/>
  <c r="DL55" i="7"/>
  <c r="DK55" i="7"/>
  <c r="DJ55" i="7"/>
  <c r="DI55" i="7"/>
  <c r="DH55" i="7"/>
  <c r="DG55" i="7"/>
  <c r="DF55" i="7"/>
  <c r="DE55" i="7"/>
  <c r="DD55" i="7"/>
  <c r="DC55" i="7"/>
  <c r="DB55" i="7"/>
  <c r="DA55" i="7"/>
  <c r="CZ55" i="7"/>
  <c r="CY55" i="7"/>
  <c r="CY52" i="7"/>
  <c r="CY51" i="7"/>
  <c r="DT48" i="7"/>
  <c r="DS48" i="7"/>
  <c r="DR48" i="7"/>
  <c r="DQ48" i="7"/>
  <c r="DP48" i="7"/>
  <c r="DO48" i="7"/>
  <c r="DN48" i="7"/>
  <c r="DM48" i="7"/>
  <c r="DL48" i="7"/>
  <c r="DK48" i="7"/>
  <c r="DJ48" i="7"/>
  <c r="DI48" i="7"/>
  <c r="DH48" i="7"/>
  <c r="DG48" i="7"/>
  <c r="DF48" i="7"/>
  <c r="DE48" i="7"/>
  <c r="DD48" i="7"/>
  <c r="DC48" i="7"/>
  <c r="DB48" i="7"/>
  <c r="DA48" i="7"/>
  <c r="CZ48" i="7"/>
  <c r="CY48" i="7"/>
  <c r="CY45" i="7"/>
  <c r="CY44" i="7"/>
  <c r="CZ44" i="7" s="1"/>
  <c r="DA44" i="7" s="1"/>
  <c r="DB44" i="7" s="1"/>
  <c r="DC44" i="7" s="1"/>
  <c r="DD44" i="7" s="1"/>
  <c r="DE44" i="7" s="1"/>
  <c r="DF44" i="7" s="1"/>
  <c r="DG44" i="7" s="1"/>
  <c r="DH44" i="7" s="1"/>
  <c r="DI44" i="7" s="1"/>
  <c r="DJ44" i="7" s="1"/>
  <c r="DK44" i="7" s="1"/>
  <c r="DL44" i="7" s="1"/>
  <c r="DM44" i="7" s="1"/>
  <c r="DN44" i="7" s="1"/>
  <c r="DO44" i="7" s="1"/>
  <c r="DP44" i="7" s="1"/>
  <c r="DQ44" i="7" s="1"/>
  <c r="DR44" i="7" s="1"/>
  <c r="DS44" i="7" s="1"/>
  <c r="DT44" i="7" s="1"/>
  <c r="DT38" i="7"/>
  <c r="DS38" i="7"/>
  <c r="DR38" i="7"/>
  <c r="DQ38" i="7"/>
  <c r="DP38" i="7"/>
  <c r="DO38" i="7"/>
  <c r="DN38" i="7"/>
  <c r="DM38" i="7"/>
  <c r="DL38" i="7"/>
  <c r="DK38" i="7"/>
  <c r="DJ38" i="7"/>
  <c r="DI38" i="7"/>
  <c r="DH38" i="7"/>
  <c r="DG38" i="7"/>
  <c r="DF38" i="7"/>
  <c r="DE38" i="7"/>
  <c r="DD38" i="7"/>
  <c r="DC38" i="7"/>
  <c r="DB38" i="7"/>
  <c r="DA38" i="7"/>
  <c r="CY38" i="7"/>
  <c r="CY36" i="7"/>
  <c r="CZ36" i="7" s="1"/>
  <c r="DA36" i="7" s="1"/>
  <c r="DB36" i="7" s="1"/>
  <c r="DC36" i="7" s="1"/>
  <c r="DD36" i="7" s="1"/>
  <c r="DE36" i="7" s="1"/>
  <c r="DF36" i="7" s="1"/>
  <c r="DG36" i="7" s="1"/>
  <c r="DH36" i="7" s="1"/>
  <c r="DI36" i="7" s="1"/>
  <c r="DJ36" i="7" s="1"/>
  <c r="DK36" i="7" s="1"/>
  <c r="DL36" i="7" s="1"/>
  <c r="DM36" i="7" s="1"/>
  <c r="DN36" i="7" s="1"/>
  <c r="DO36" i="7" s="1"/>
  <c r="DP36" i="7" s="1"/>
  <c r="DQ36" i="7" s="1"/>
  <c r="DR36" i="7" s="1"/>
  <c r="DS36" i="7" s="1"/>
  <c r="DT36" i="7" s="1"/>
  <c r="DA33" i="7"/>
  <c r="DR32" i="7"/>
  <c r="DQ32" i="7"/>
  <c r="DP32" i="7"/>
  <c r="DA32" i="7"/>
  <c r="DT31" i="7"/>
  <c r="DS31" i="7"/>
  <c r="DR31" i="7"/>
  <c r="DQ31" i="7"/>
  <c r="DP31" i="7"/>
  <c r="DO31" i="7"/>
  <c r="DN31" i="7"/>
  <c r="DM31" i="7"/>
  <c r="DL31" i="7"/>
  <c r="DK31" i="7"/>
  <c r="DJ31" i="7"/>
  <c r="DI31" i="7"/>
  <c r="DH31" i="7"/>
  <c r="DG31" i="7"/>
  <c r="DF31" i="7"/>
  <c r="DE31" i="7"/>
  <c r="DD31" i="7"/>
  <c r="DC31" i="7"/>
  <c r="DB31" i="7"/>
  <c r="CY30" i="7"/>
  <c r="CZ30" i="7" s="1"/>
  <c r="DA30" i="7" s="1"/>
  <c r="DB30" i="7" s="1"/>
  <c r="DC30" i="7" s="1"/>
  <c r="DD30" i="7" s="1"/>
  <c r="DE30" i="7" s="1"/>
  <c r="DF30" i="7" s="1"/>
  <c r="DG30" i="7" s="1"/>
  <c r="DH30" i="7" s="1"/>
  <c r="DI30" i="7" s="1"/>
  <c r="DJ30" i="7" s="1"/>
  <c r="DK30" i="7" s="1"/>
  <c r="DL30" i="7" s="1"/>
  <c r="DM30" i="7" s="1"/>
  <c r="DN30" i="7" s="1"/>
  <c r="DO30" i="7" s="1"/>
  <c r="DP30" i="7" s="1"/>
  <c r="DQ30" i="7" s="1"/>
  <c r="DR30" i="7" s="1"/>
  <c r="DS30" i="7" s="1"/>
  <c r="DT30" i="7" s="1"/>
  <c r="DS28" i="7"/>
  <c r="DR28" i="7"/>
  <c r="DQ28" i="7"/>
  <c r="DP28" i="7"/>
  <c r="DO28" i="7"/>
  <c r="DN28" i="7"/>
  <c r="DM28" i="7"/>
  <c r="DL28" i="7"/>
  <c r="DK28" i="7"/>
  <c r="DJ28" i="7"/>
  <c r="DI28" i="7"/>
  <c r="DH28" i="7"/>
  <c r="DG28" i="7"/>
  <c r="DF28" i="7"/>
  <c r="DE28" i="7"/>
  <c r="DD28" i="7"/>
  <c r="DC28" i="7"/>
  <c r="DA28" i="7"/>
  <c r="CZ28" i="7"/>
  <c r="CY28" i="7"/>
  <c r="DS27" i="7"/>
  <c r="DS34" i="7" s="1"/>
  <c r="DR27" i="7"/>
  <c r="DQ27" i="7"/>
  <c r="DP27" i="7"/>
  <c r="DO27" i="7"/>
  <c r="DO32" i="7" s="1"/>
  <c r="DN27" i="7"/>
  <c r="DN32" i="7" s="1"/>
  <c r="DM27" i="7"/>
  <c r="DM32" i="7" s="1"/>
  <c r="DL27" i="7"/>
  <c r="DK27" i="7"/>
  <c r="DJ27" i="7"/>
  <c r="DI27" i="7"/>
  <c r="DH27" i="7"/>
  <c r="DG27" i="7"/>
  <c r="DF27" i="7"/>
  <c r="DE27" i="7"/>
  <c r="DD27" i="7"/>
  <c r="DC27" i="7"/>
  <c r="DC34" i="7" s="1"/>
  <c r="DA27" i="7"/>
  <c r="DA34" i="7" s="1"/>
  <c r="CZ27" i="7"/>
  <c r="CY27" i="7"/>
  <c r="DT25" i="7"/>
  <c r="DS25" i="7"/>
  <c r="DR25" i="7"/>
  <c r="DQ25" i="7"/>
  <c r="DP25" i="7"/>
  <c r="DO25" i="7"/>
  <c r="DM25" i="7"/>
  <c r="DL25" i="7"/>
  <c r="DK25" i="7"/>
  <c r="DJ25" i="7"/>
  <c r="DI25" i="7"/>
  <c r="DH25" i="7"/>
  <c r="DG25" i="7"/>
  <c r="DF25" i="7"/>
  <c r="DE25" i="7"/>
  <c r="DD25" i="7"/>
  <c r="DC25" i="7"/>
  <c r="DB25" i="7"/>
  <c r="DA25" i="7"/>
  <c r="CZ25" i="7"/>
  <c r="CY25" i="7"/>
  <c r="CY19" i="7"/>
  <c r="CZ19" i="7" s="1"/>
  <c r="DA19" i="7" s="1"/>
  <c r="DB19" i="7" s="1"/>
  <c r="DC19" i="7" s="1"/>
  <c r="DD19" i="7" s="1"/>
  <c r="DE19" i="7" s="1"/>
  <c r="DF19" i="7" s="1"/>
  <c r="DG19" i="7" s="1"/>
  <c r="DH19" i="7" s="1"/>
  <c r="DI19" i="7" s="1"/>
  <c r="DJ19" i="7" s="1"/>
  <c r="DK19" i="7" s="1"/>
  <c r="DL19" i="7" s="1"/>
  <c r="DM19" i="7" s="1"/>
  <c r="DN19" i="7" s="1"/>
  <c r="DO19" i="7" s="1"/>
  <c r="DP19" i="7" s="1"/>
  <c r="DQ19" i="7" s="1"/>
  <c r="DR19" i="7" s="1"/>
  <c r="DS19" i="7" s="1"/>
  <c r="DT19" i="7" s="1"/>
  <c r="DT17" i="7"/>
  <c r="DS17" i="7"/>
  <c r="DR17" i="7"/>
  <c r="DQ17" i="7"/>
  <c r="DP17" i="7"/>
  <c r="DO17" i="7"/>
  <c r="DN17" i="7"/>
  <c r="DM17" i="7"/>
  <c r="DL17" i="7"/>
  <c r="DI17" i="7"/>
  <c r="DH17" i="7"/>
  <c r="DA17" i="7"/>
  <c r="CZ17" i="7"/>
  <c r="CY17" i="7"/>
  <c r="DT15" i="7"/>
  <c r="DR15" i="7"/>
  <c r="DQ15" i="7"/>
  <c r="DP15" i="7"/>
  <c r="DO15" i="7"/>
  <c r="DN15" i="7"/>
  <c r="DM15" i="7"/>
  <c r="DL15" i="7"/>
  <c r="DK15" i="7"/>
  <c r="DJ15" i="7"/>
  <c r="DI15" i="7"/>
  <c r="DH15" i="7"/>
  <c r="DG15" i="7"/>
  <c r="DF15" i="7"/>
  <c r="DE15" i="7"/>
  <c r="DD15" i="7"/>
  <c r="DC15" i="7"/>
  <c r="DB15" i="7"/>
  <c r="DA15" i="7"/>
  <c r="CY15" i="7"/>
  <c r="CY13" i="7"/>
  <c r="DT11" i="7"/>
  <c r="DS11" i="7"/>
  <c r="DR11" i="7"/>
  <c r="DQ11" i="7"/>
  <c r="DP11" i="7"/>
  <c r="DO11" i="7"/>
  <c r="DN11" i="7"/>
  <c r="DM11" i="7"/>
  <c r="DL11" i="7"/>
  <c r="DK11" i="7"/>
  <c r="DJ11" i="7"/>
  <c r="DI11" i="7"/>
  <c r="DH11" i="7"/>
  <c r="DG11" i="7"/>
  <c r="DF11" i="7"/>
  <c r="DE11" i="7"/>
  <c r="DD11" i="7"/>
  <c r="DC11" i="7"/>
  <c r="DB11" i="7"/>
  <c r="DA11" i="7"/>
  <c r="CZ11" i="7"/>
  <c r="CY11" i="7"/>
  <c r="CY8" i="7"/>
  <c r="DT6" i="7"/>
  <c r="DS6" i="7"/>
  <c r="DR6" i="7"/>
  <c r="DQ6" i="7"/>
  <c r="DP6" i="7"/>
  <c r="DO6" i="7"/>
  <c r="DN6" i="7"/>
  <c r="DM6" i="7"/>
  <c r="DL6" i="7"/>
  <c r="CY6" i="7"/>
  <c r="CY3" i="7"/>
  <c r="AJ20" i="6"/>
  <c r="AJ11" i="10"/>
  <c r="AJ6" i="10"/>
  <c r="BB28" i="10"/>
  <c r="BA28" i="10"/>
  <c r="AZ28" i="10"/>
  <c r="AY28" i="10"/>
  <c r="AX28" i="10"/>
  <c r="AW28" i="10"/>
  <c r="AV28" i="10"/>
  <c r="AU28" i="10"/>
  <c r="AT28" i="10"/>
  <c r="AS28" i="10"/>
  <c r="AR28" i="10"/>
  <c r="AQ28" i="10"/>
  <c r="AP28" i="10"/>
  <c r="AO28" i="10"/>
  <c r="AN28" i="10"/>
  <c r="AM28" i="10"/>
  <c r="BB27" i="10"/>
  <c r="BA27" i="10"/>
  <c r="AZ27" i="10"/>
  <c r="AY27" i="10"/>
  <c r="AX27" i="10"/>
  <c r="AW27" i="10"/>
  <c r="AV27" i="10"/>
  <c r="AU27" i="10"/>
  <c r="AT27" i="10"/>
  <c r="AS27" i="10"/>
  <c r="AR27" i="10"/>
  <c r="AQ27" i="10"/>
  <c r="AP27" i="10"/>
  <c r="AO27" i="10"/>
  <c r="AN27" i="10"/>
  <c r="AM27" i="10"/>
  <c r="BB26" i="10"/>
  <c r="BA26" i="10"/>
  <c r="AZ26" i="10"/>
  <c r="AY26" i="10"/>
  <c r="AX26" i="10"/>
  <c r="AW26" i="10"/>
  <c r="AV26" i="10"/>
  <c r="AU26" i="10"/>
  <c r="AT26" i="10"/>
  <c r="AS26" i="10"/>
  <c r="AR26" i="10"/>
  <c r="AQ26" i="10"/>
  <c r="AP26" i="10"/>
  <c r="AO26" i="10"/>
  <c r="AN26" i="10"/>
  <c r="AM26" i="10"/>
  <c r="BB23" i="10"/>
  <c r="BA23" i="10"/>
  <c r="AZ23" i="10"/>
  <c r="AY23" i="10"/>
  <c r="AX23" i="10"/>
  <c r="AW23" i="10"/>
  <c r="AV23" i="10"/>
  <c r="AU23" i="10"/>
  <c r="AT23" i="10"/>
  <c r="AS23" i="10"/>
  <c r="AR23" i="10"/>
  <c r="AQ23" i="10"/>
  <c r="AP23" i="10"/>
  <c r="AO23" i="10"/>
  <c r="AN23" i="10"/>
  <c r="AM23" i="10"/>
  <c r="AM17" i="10"/>
  <c r="AN17" i="10" s="1"/>
  <c r="AO17" i="10" s="1"/>
  <c r="AP17" i="10" s="1"/>
  <c r="AQ17" i="10" s="1"/>
  <c r="AR17" i="10" s="1"/>
  <c r="AS17" i="10" s="1"/>
  <c r="AT17" i="10" s="1"/>
  <c r="AU17" i="10" s="1"/>
  <c r="AV17" i="10" s="1"/>
  <c r="AW17" i="10" s="1"/>
  <c r="AX17" i="10" s="1"/>
  <c r="AY17" i="10" s="1"/>
  <c r="AZ17" i="10" s="1"/>
  <c r="BA17" i="10" s="1"/>
  <c r="BB17" i="10" s="1"/>
  <c r="BB13" i="10"/>
  <c r="BA13" i="10"/>
  <c r="AZ13" i="10"/>
  <c r="AY13" i="10"/>
  <c r="AX13" i="10"/>
  <c r="AW13" i="10"/>
  <c r="AV13" i="10"/>
  <c r="AU13" i="10"/>
  <c r="AT13" i="10"/>
  <c r="AS13" i="10"/>
  <c r="AR13" i="10"/>
  <c r="AR15" i="10" s="1"/>
  <c r="AQ13" i="10"/>
  <c r="AQ15" i="10" s="1"/>
  <c r="AP13" i="10"/>
  <c r="AP15" i="10" s="1"/>
  <c r="AO13" i="10"/>
  <c r="AO15" i="10" s="1"/>
  <c r="AN13" i="10"/>
  <c r="AN15" i="10" s="1"/>
  <c r="AM13" i="10"/>
  <c r="AM15" i="10" s="1"/>
  <c r="AM3" i="10"/>
  <c r="AN3" i="10" s="1"/>
  <c r="AO3" i="10" s="1"/>
  <c r="AP3" i="10" s="1"/>
  <c r="AQ3" i="10" s="1"/>
  <c r="AR3" i="10" s="1"/>
  <c r="AS3" i="10" s="1"/>
  <c r="AT3" i="10" s="1"/>
  <c r="AU3" i="10" s="1"/>
  <c r="AV3" i="10" s="1"/>
  <c r="AW3" i="10" s="1"/>
  <c r="AX3" i="10" s="1"/>
  <c r="AY3" i="10" s="1"/>
  <c r="AZ3" i="10" s="1"/>
  <c r="BA3" i="10" s="1"/>
  <c r="BB3" i="10" s="1"/>
  <c r="D12" i="4"/>
  <c r="CP20" i="7"/>
  <c r="CQ20" i="7"/>
  <c r="CO20" i="7"/>
  <c r="CS23" i="7"/>
  <c r="CT23" i="7"/>
  <c r="CR23" i="7"/>
  <c r="CP23" i="7"/>
  <c r="CQ23" i="7"/>
  <c r="CO23" i="7"/>
  <c r="CS4" i="7"/>
  <c r="CT4" i="7"/>
  <c r="CR4" i="7"/>
  <c r="CQ4" i="7"/>
  <c r="CP4" i="7"/>
  <c r="CO4" i="7"/>
  <c r="CL4" i="7"/>
  <c r="CJ4" i="7"/>
  <c r="CK4" i="7"/>
  <c r="CI4" i="7"/>
  <c r="DU26" i="7" l="1"/>
  <c r="DT27" i="7"/>
  <c r="DT28" i="7"/>
  <c r="DT33" i="7"/>
  <c r="DS33" i="7"/>
  <c r="DS32" i="7"/>
  <c r="AR61" i="6"/>
  <c r="AR64" i="6" s="1"/>
  <c r="AR21" i="6"/>
  <c r="AR24" i="6" s="1"/>
  <c r="AR25" i="6" s="1"/>
  <c r="DR34" i="7"/>
  <c r="DR33" i="7"/>
  <c r="DQ34" i="7"/>
  <c r="DQ33" i="7"/>
  <c r="DP34" i="7"/>
  <c r="DP33" i="7"/>
  <c r="AQ53" i="6"/>
  <c r="DN30" i="8"/>
  <c r="DN28" i="8"/>
  <c r="DN27" i="8"/>
  <c r="DN26" i="8"/>
  <c r="DO25" i="8"/>
  <c r="DO34" i="7"/>
  <c r="DO33" i="7"/>
  <c r="DN34" i="7"/>
  <c r="DN33" i="7"/>
  <c r="DM34" i="7"/>
  <c r="DM33" i="7"/>
  <c r="AP85" i="6"/>
  <c r="AP83" i="6"/>
  <c r="AP84" i="6" s="1"/>
  <c r="DL34" i="7"/>
  <c r="DL33" i="7"/>
  <c r="DL32" i="7"/>
  <c r="DK34" i="7"/>
  <c r="DK33" i="7"/>
  <c r="DK32" i="7"/>
  <c r="DJ34" i="7"/>
  <c r="DJ33" i="7"/>
  <c r="DJ32" i="7"/>
  <c r="DI34" i="7"/>
  <c r="DI33" i="7"/>
  <c r="DI32" i="7"/>
  <c r="DH34" i="7"/>
  <c r="DH33" i="7"/>
  <c r="DH32" i="7"/>
  <c r="DG34" i="7"/>
  <c r="DG33" i="7"/>
  <c r="DG32" i="7"/>
  <c r="DF34" i="7"/>
  <c r="DF33" i="7"/>
  <c r="DF32" i="7"/>
  <c r="DE34" i="7"/>
  <c r="DE33" i="7"/>
  <c r="DE32" i="7"/>
  <c r="DD34" i="7"/>
  <c r="DD33" i="7"/>
  <c r="DD32" i="7"/>
  <c r="AO85" i="6"/>
  <c r="AO83" i="6"/>
  <c r="AO84" i="6" s="1"/>
  <c r="AN85" i="6"/>
  <c r="AN83" i="6"/>
  <c r="AN84" i="6" s="1"/>
  <c r="AQ13" i="6"/>
  <c r="AQ11" i="6"/>
  <c r="AQ12" i="6" s="1"/>
  <c r="AR13" i="6"/>
  <c r="AR11" i="6"/>
  <c r="AR12" i="6" s="1"/>
  <c r="AS13" i="6"/>
  <c r="AS11" i="6"/>
  <c r="AS12" i="6" s="1"/>
  <c r="AT13" i="6"/>
  <c r="AT11" i="6"/>
  <c r="AT12" i="6" s="1"/>
  <c r="AU13" i="6"/>
  <c r="AU11" i="6"/>
  <c r="AU12" i="6" s="1"/>
  <c r="AV13" i="6"/>
  <c r="AV11" i="6"/>
  <c r="AV12" i="6" s="1"/>
  <c r="AW13" i="6"/>
  <c r="AW11" i="6"/>
  <c r="AW12" i="6" s="1"/>
  <c r="AX13" i="6"/>
  <c r="AX11" i="6"/>
  <c r="AX12" i="6" s="1"/>
  <c r="AY13" i="6"/>
  <c r="AY11" i="6"/>
  <c r="AY12" i="6" s="1"/>
  <c r="AZ13" i="6"/>
  <c r="AZ11" i="6"/>
  <c r="AZ12" i="6" s="1"/>
  <c r="BA13" i="6"/>
  <c r="BA11" i="6"/>
  <c r="BA12" i="6" s="1"/>
  <c r="BB13" i="6"/>
  <c r="BB11" i="6"/>
  <c r="BB12" i="6" s="1"/>
  <c r="AQ30" i="6"/>
  <c r="AQ31" i="6" s="1"/>
  <c r="AQ26" i="6"/>
  <c r="AQ24" i="6"/>
  <c r="AQ25" i="6" s="1"/>
  <c r="AR26" i="6"/>
  <c r="AS30" i="6"/>
  <c r="AS31" i="6" s="1"/>
  <c r="AS26" i="6"/>
  <c r="AS24" i="6"/>
  <c r="AS25" i="6" s="1"/>
  <c r="AT30" i="6"/>
  <c r="AT31" i="6" s="1"/>
  <c r="AT26" i="6"/>
  <c r="AT24" i="6"/>
  <c r="AT25" i="6" s="1"/>
  <c r="AU30" i="6"/>
  <c r="AU31" i="6" s="1"/>
  <c r="AU26" i="6"/>
  <c r="AU24" i="6"/>
  <c r="AU25" i="6" s="1"/>
  <c r="AV30" i="6"/>
  <c r="AV31" i="6" s="1"/>
  <c r="AV26" i="6"/>
  <c r="AV24" i="6"/>
  <c r="AV25" i="6" s="1"/>
  <c r="AW30" i="6"/>
  <c r="AW31" i="6" s="1"/>
  <c r="AW26" i="6"/>
  <c r="AW24" i="6"/>
  <c r="AW25" i="6" s="1"/>
  <c r="AX30" i="6"/>
  <c r="AX31" i="6" s="1"/>
  <c r="AX26" i="6"/>
  <c r="AX24" i="6"/>
  <c r="AX25" i="6" s="1"/>
  <c r="AY30" i="6"/>
  <c r="AY31" i="6" s="1"/>
  <c r="AY26" i="6"/>
  <c r="AY24" i="6"/>
  <c r="AY25" i="6" s="1"/>
  <c r="AZ30" i="6"/>
  <c r="AZ31" i="6" s="1"/>
  <c r="AZ26" i="6"/>
  <c r="AZ24" i="6"/>
  <c r="AZ25" i="6" s="1"/>
  <c r="BA30" i="6"/>
  <c r="BA31" i="6" s="1"/>
  <c r="BA26" i="6"/>
  <c r="BA24" i="6"/>
  <c r="BA25" i="6" s="1"/>
  <c r="BB30" i="6"/>
  <c r="BB31" i="6" s="1"/>
  <c r="BB26" i="6"/>
  <c r="BB24" i="6"/>
  <c r="BB25" i="6" s="1"/>
  <c r="AQ40" i="6"/>
  <c r="AQ42" i="6" s="1"/>
  <c r="AQ43" i="6" s="1"/>
  <c r="AR38" i="6"/>
  <c r="AQ68" i="6"/>
  <c r="AQ66" i="6"/>
  <c r="AQ67" i="6" s="1"/>
  <c r="AR65" i="6"/>
  <c r="AQ85" i="6"/>
  <c r="AQ83" i="6"/>
  <c r="AQ84" i="6" s="1"/>
  <c r="AR85" i="6"/>
  <c r="AR83" i="6"/>
  <c r="AR84" i="6" s="1"/>
  <c r="AS85" i="6"/>
  <c r="AS83" i="6"/>
  <c r="AS84" i="6" s="1"/>
  <c r="AT85" i="6"/>
  <c r="AT83" i="6"/>
  <c r="AT84" i="6" s="1"/>
  <c r="AU85" i="6"/>
  <c r="AU83" i="6"/>
  <c r="AU84" i="6" s="1"/>
  <c r="AV85" i="6"/>
  <c r="AV83" i="6"/>
  <c r="AV84" i="6" s="1"/>
  <c r="AW85" i="6"/>
  <c r="AW83" i="6"/>
  <c r="AW84" i="6" s="1"/>
  <c r="AX85" i="6"/>
  <c r="AX83" i="6"/>
  <c r="AX84" i="6" s="1"/>
  <c r="AY85" i="6"/>
  <c r="AY83" i="6"/>
  <c r="AY84" i="6" s="1"/>
  <c r="AZ85" i="6"/>
  <c r="AZ83" i="6"/>
  <c r="AZ84" i="6" s="1"/>
  <c r="BA85" i="6"/>
  <c r="BA83" i="6"/>
  <c r="BA84" i="6" s="1"/>
  <c r="BB85" i="6"/>
  <c r="BB83" i="6"/>
  <c r="BB84" i="6" s="1"/>
  <c r="AQ92" i="6"/>
  <c r="AQ90" i="6"/>
  <c r="AR92" i="6"/>
  <c r="AR90" i="6"/>
  <c r="AS92" i="6"/>
  <c r="AS90" i="6"/>
  <c r="AT92" i="6"/>
  <c r="AT90" i="6"/>
  <c r="AU92" i="6"/>
  <c r="AU90" i="6"/>
  <c r="AV92" i="6"/>
  <c r="AV90" i="6"/>
  <c r="AW92" i="6"/>
  <c r="AW90" i="6"/>
  <c r="AX92" i="6"/>
  <c r="AX90" i="6"/>
  <c r="AY92" i="6"/>
  <c r="AY90" i="6"/>
  <c r="AZ92" i="6"/>
  <c r="AZ90" i="6"/>
  <c r="BA92" i="6"/>
  <c r="BA90" i="6"/>
  <c r="BB92" i="6"/>
  <c r="BB90" i="6"/>
  <c r="AM85" i="6"/>
  <c r="AM83" i="6"/>
  <c r="AM84" i="6" s="1"/>
  <c r="AL61" i="6"/>
  <c r="AL64" i="6" s="1"/>
  <c r="AM61" i="6"/>
  <c r="AM64" i="6" s="1"/>
  <c r="DB34" i="7"/>
  <c r="DB33" i="7"/>
  <c r="DC33" i="7"/>
  <c r="DB17" i="7"/>
  <c r="DJ17" i="7"/>
  <c r="DC17" i="7"/>
  <c r="DK17" i="7"/>
  <c r="DE17" i="7"/>
  <c r="DB28" i="7"/>
  <c r="DB32" i="7"/>
  <c r="DF17" i="7"/>
  <c r="DC32" i="7"/>
  <c r="DD17" i="7"/>
  <c r="CZ4" i="7"/>
  <c r="CZ34" i="7"/>
  <c r="CZ33" i="7"/>
  <c r="CZ32" i="7"/>
  <c r="CY34" i="7"/>
  <c r="CY33" i="7"/>
  <c r="CY32" i="7"/>
  <c r="CY5" i="7"/>
  <c r="CZ3" i="7"/>
  <c r="CY10" i="7"/>
  <c r="CZ8" i="7"/>
  <c r="CY16" i="7"/>
  <c r="CZ13" i="7"/>
  <c r="CY47" i="7"/>
  <c r="CZ45" i="7"/>
  <c r="CY49" i="7"/>
  <c r="CZ49" i="7"/>
  <c r="DA49" i="7"/>
  <c r="DB49" i="7"/>
  <c r="DC49" i="7"/>
  <c r="DD49" i="7"/>
  <c r="DE49" i="7"/>
  <c r="DF49" i="7"/>
  <c r="DG49" i="7"/>
  <c r="DH49" i="7"/>
  <c r="DI49" i="7"/>
  <c r="DJ49" i="7"/>
  <c r="DK49" i="7"/>
  <c r="DL49" i="7"/>
  <c r="DM49" i="7"/>
  <c r="DN49" i="7"/>
  <c r="DO49" i="7"/>
  <c r="DP49" i="7"/>
  <c r="DQ49" i="7"/>
  <c r="DR49" i="7"/>
  <c r="DS49" i="7"/>
  <c r="DT49" i="7"/>
  <c r="CY54" i="7"/>
  <c r="CZ52" i="7"/>
  <c r="AM32" i="10"/>
  <c r="AM31" i="10"/>
  <c r="AM30" i="10"/>
  <c r="AM24" i="10"/>
  <c r="AN32" i="10"/>
  <c r="AN31" i="10"/>
  <c r="AN30" i="10"/>
  <c r="AN24" i="10"/>
  <c r="AO32" i="10"/>
  <c r="AO31" i="10"/>
  <c r="AO30" i="10"/>
  <c r="AO24" i="10"/>
  <c r="AP32" i="10"/>
  <c r="AP31" i="10"/>
  <c r="AP30" i="10"/>
  <c r="AP24" i="10"/>
  <c r="AQ32" i="10"/>
  <c r="AQ31" i="10"/>
  <c r="AQ30" i="10"/>
  <c r="AQ24" i="10"/>
  <c r="AR32" i="10"/>
  <c r="AR31" i="10"/>
  <c r="AR30" i="10"/>
  <c r="AR24" i="10"/>
  <c r="AS32" i="10"/>
  <c r="AS31" i="10"/>
  <c r="AS30" i="10"/>
  <c r="AS24" i="10"/>
  <c r="AT32" i="10"/>
  <c r="AT31" i="10"/>
  <c r="AT30" i="10"/>
  <c r="AT24" i="10"/>
  <c r="AU32" i="10"/>
  <c r="AU31" i="10"/>
  <c r="AU30" i="10"/>
  <c r="AU24" i="10"/>
  <c r="AV32" i="10"/>
  <c r="AV31" i="10"/>
  <c r="AV30" i="10"/>
  <c r="AV24" i="10"/>
  <c r="AW32" i="10"/>
  <c r="AW31" i="10"/>
  <c r="AW30" i="10"/>
  <c r="AW24" i="10"/>
  <c r="AX32" i="10"/>
  <c r="AX31" i="10"/>
  <c r="AX30" i="10"/>
  <c r="AX24" i="10"/>
  <c r="AY32" i="10"/>
  <c r="AY31" i="10"/>
  <c r="AY30" i="10"/>
  <c r="AY24" i="10"/>
  <c r="AZ32" i="10"/>
  <c r="AZ31" i="10"/>
  <c r="AZ30" i="10"/>
  <c r="AZ24" i="10"/>
  <c r="BA32" i="10"/>
  <c r="BA31" i="10"/>
  <c r="BA30" i="10"/>
  <c r="BA24" i="10"/>
  <c r="BB32" i="10"/>
  <c r="BB31" i="10"/>
  <c r="BB30" i="10"/>
  <c r="BB24" i="10"/>
  <c r="AI18" i="6"/>
  <c r="AI17" i="6" s="1"/>
  <c r="AI11" i="10"/>
  <c r="AI6" i="10"/>
  <c r="AH9" i="2"/>
  <c r="AH7" i="2"/>
  <c r="AH5" i="2"/>
  <c r="AG9" i="2"/>
  <c r="AG7" i="2"/>
  <c r="AG5" i="2"/>
  <c r="AH6" i="6"/>
  <c r="AH5" i="6"/>
  <c r="K15" i="10"/>
  <c r="L15" i="10"/>
  <c r="M15" i="10"/>
  <c r="N15" i="10"/>
  <c r="O15" i="10"/>
  <c r="P15" i="10"/>
  <c r="Q15" i="10"/>
  <c r="R15" i="10"/>
  <c r="S15" i="10"/>
  <c r="T15" i="10"/>
  <c r="U15" i="10"/>
  <c r="V15" i="10"/>
  <c r="W15" i="10"/>
  <c r="X15" i="10"/>
  <c r="Y15" i="10"/>
  <c r="Z15" i="10"/>
  <c r="AA15" i="10"/>
  <c r="AB15" i="10"/>
  <c r="AC15" i="10"/>
  <c r="AD15" i="10"/>
  <c r="AE15" i="10"/>
  <c r="AF15" i="10"/>
  <c r="AH11" i="10"/>
  <c r="AH6" i="10"/>
  <c r="DU28" i="7" l="1"/>
  <c r="DU27" i="7"/>
  <c r="DT34" i="7"/>
  <c r="DT32" i="7"/>
  <c r="AR30" i="6"/>
  <c r="AR31" i="6" s="1"/>
  <c r="AR32" i="6" s="1"/>
  <c r="DO30" i="8"/>
  <c r="DO29" i="8"/>
  <c r="DO28" i="8"/>
  <c r="DO27" i="8"/>
  <c r="DO26" i="8"/>
  <c r="DP25" i="8"/>
  <c r="BB94" i="6"/>
  <c r="BB93" i="6"/>
  <c r="BA94" i="6"/>
  <c r="BA93" i="6"/>
  <c r="AZ94" i="6"/>
  <c r="AZ93" i="6"/>
  <c r="AY94" i="6"/>
  <c r="AY93" i="6"/>
  <c r="AX94" i="6"/>
  <c r="AX93" i="6"/>
  <c r="AW94" i="6"/>
  <c r="AW93" i="6"/>
  <c r="AV94" i="6"/>
  <c r="AV93" i="6"/>
  <c r="AU94" i="6"/>
  <c r="AU93" i="6"/>
  <c r="AT94" i="6"/>
  <c r="AT93" i="6"/>
  <c r="AS94" i="6"/>
  <c r="AS93" i="6"/>
  <c r="AR94" i="6"/>
  <c r="AR93" i="6"/>
  <c r="AQ94" i="6"/>
  <c r="AQ93" i="6"/>
  <c r="AR68" i="6"/>
  <c r="AR66" i="6"/>
  <c r="AR67" i="6" s="1"/>
  <c r="AS65" i="6"/>
  <c r="AR40" i="6"/>
  <c r="AR42" i="6" s="1"/>
  <c r="AR43" i="6" s="1"/>
  <c r="AS38" i="6"/>
  <c r="BB34" i="6"/>
  <c r="BB32" i="6"/>
  <c r="BA34" i="6"/>
  <c r="BA32" i="6"/>
  <c r="AZ34" i="6"/>
  <c r="AZ32" i="6"/>
  <c r="AY34" i="6"/>
  <c r="AY32" i="6"/>
  <c r="AX34" i="6"/>
  <c r="AX32" i="6"/>
  <c r="AW34" i="6"/>
  <c r="AW32" i="6"/>
  <c r="AV34" i="6"/>
  <c r="AV32" i="6"/>
  <c r="AU34" i="6"/>
  <c r="AU32" i="6"/>
  <c r="AT34" i="6"/>
  <c r="AT32" i="6"/>
  <c r="AS34" i="6"/>
  <c r="AS32" i="6"/>
  <c r="AQ34" i="6"/>
  <c r="AQ32" i="6"/>
  <c r="AL66" i="6"/>
  <c r="AL67" i="6" s="1"/>
  <c r="AL68" i="6"/>
  <c r="CZ38" i="7"/>
  <c r="CZ15" i="7"/>
  <c r="DK6" i="7"/>
  <c r="DJ6" i="7"/>
  <c r="DI6" i="7"/>
  <c r="DH6" i="7"/>
  <c r="DG6" i="7"/>
  <c r="DF6" i="7"/>
  <c r="DE6" i="7"/>
  <c r="DD6" i="7"/>
  <c r="DC6" i="7"/>
  <c r="DB6" i="7"/>
  <c r="DA6" i="7"/>
  <c r="CZ6" i="7"/>
  <c r="CZ5" i="7"/>
  <c r="DA52" i="7"/>
  <c r="CZ51" i="7"/>
  <c r="CZ54" i="7" s="1"/>
  <c r="CZ47" i="7"/>
  <c r="DA45" i="7"/>
  <c r="CZ16" i="7"/>
  <c r="DA13" i="7"/>
  <c r="CZ10" i="7"/>
  <c r="DA8" i="7"/>
  <c r="DA3" i="7"/>
  <c r="CN23" i="7"/>
  <c r="CM23" i="7"/>
  <c r="CN20" i="7"/>
  <c r="CM20" i="7"/>
  <c r="CN26" i="7"/>
  <c r="CM26" i="7"/>
  <c r="DU33" i="7" l="1"/>
  <c r="DU34" i="7"/>
  <c r="DU32" i="7"/>
  <c r="AR34" i="6"/>
  <c r="DP30" i="8"/>
  <c r="DP29" i="8"/>
  <c r="DP28" i="8"/>
  <c r="DP27" i="8"/>
  <c r="DP26" i="8"/>
  <c r="DQ25" i="8"/>
  <c r="AQ36" i="6"/>
  <c r="AQ35" i="6"/>
  <c r="AR36" i="6"/>
  <c r="AR35" i="6"/>
  <c r="AS36" i="6"/>
  <c r="AS35" i="6"/>
  <c r="AT36" i="6"/>
  <c r="AT35" i="6"/>
  <c r="AU36" i="6"/>
  <c r="AU35" i="6"/>
  <c r="AV36" i="6"/>
  <c r="AV35" i="6"/>
  <c r="AW36" i="6"/>
  <c r="AW35" i="6"/>
  <c r="AX36" i="6"/>
  <c r="AX35" i="6"/>
  <c r="AY36" i="6"/>
  <c r="AY35" i="6"/>
  <c r="AZ36" i="6"/>
  <c r="AZ35" i="6"/>
  <c r="BA36" i="6"/>
  <c r="BA35" i="6"/>
  <c r="BB36" i="6"/>
  <c r="BB35" i="6"/>
  <c r="AS40" i="6"/>
  <c r="AS42" i="6" s="1"/>
  <c r="AS43" i="6" s="1"/>
  <c r="AT38" i="6"/>
  <c r="AS68" i="6"/>
  <c r="AS66" i="6"/>
  <c r="AS67" i="6" s="1"/>
  <c r="AT65" i="6"/>
  <c r="DB3" i="7"/>
  <c r="DB8" i="7"/>
  <c r="DB13" i="7"/>
  <c r="DB45" i="7"/>
  <c r="DB52" i="7"/>
  <c r="DA51" i="7"/>
  <c r="P2" i="1"/>
  <c r="CN22" i="7"/>
  <c r="CM22" i="7"/>
  <c r="CM4" i="7"/>
  <c r="CN4" i="7" s="1"/>
  <c r="CN14" i="7"/>
  <c r="CM14" i="7"/>
  <c r="CN37" i="7"/>
  <c r="CM37" i="7"/>
  <c r="AE62" i="6"/>
  <c r="AG11" i="10"/>
  <c r="AG6" i="10"/>
  <c r="AF9" i="2"/>
  <c r="AF7" i="2"/>
  <c r="AF5" i="2"/>
  <c r="CG12" i="8"/>
  <c r="CG16" i="8"/>
  <c r="CG20" i="8" s="1"/>
  <c r="CG22" i="8" s="1"/>
  <c r="CF12" i="8"/>
  <c r="CF16" i="8"/>
  <c r="CF20" i="8"/>
  <c r="DQ30" i="8" l="1"/>
  <c r="DQ29" i="8"/>
  <c r="DQ28" i="8"/>
  <c r="DQ27" i="8"/>
  <c r="DQ26" i="8"/>
  <c r="DR25" i="8"/>
  <c r="AT68" i="6"/>
  <c r="AT66" i="6"/>
  <c r="AT67" i="6" s="1"/>
  <c r="AU65" i="6"/>
  <c r="AT40" i="6"/>
  <c r="AT42" i="6" s="1"/>
  <c r="AT43" i="6" s="1"/>
  <c r="AU38" i="6"/>
  <c r="AF62" i="6"/>
  <c r="DA5" i="7"/>
  <c r="DA10" i="7"/>
  <c r="DA16" i="7"/>
  <c r="DA47" i="7"/>
  <c r="DA54" i="7"/>
  <c r="DC52" i="7"/>
  <c r="DB51" i="7"/>
  <c r="DB54" i="7" s="1"/>
  <c r="DB47" i="7"/>
  <c r="DC45" i="7"/>
  <c r="DB16" i="7"/>
  <c r="DC13" i="7"/>
  <c r="DB10" i="7"/>
  <c r="DC8" i="7"/>
  <c r="DB5" i="7"/>
  <c r="DC3" i="7"/>
  <c r="CI20" i="7"/>
  <c r="CJ20" i="7"/>
  <c r="CK20" i="7"/>
  <c r="CE12" i="8"/>
  <c r="CE16" i="8"/>
  <c r="CE20" i="8" s="1"/>
  <c r="CE22" i="8" s="1"/>
  <c r="D6" i="12"/>
  <c r="D12" i="12" s="1"/>
  <c r="C6" i="12"/>
  <c r="C12" i="12" s="1"/>
  <c r="DR30" i="8" l="1"/>
  <c r="DR29" i="8"/>
  <c r="DR28" i="8"/>
  <c r="DR27" i="8"/>
  <c r="DR26" i="8"/>
  <c r="DS25" i="8"/>
  <c r="AU40" i="6"/>
  <c r="AU42" i="6" s="1"/>
  <c r="AU43" i="6" s="1"/>
  <c r="AV38" i="6"/>
  <c r="AU68" i="6"/>
  <c r="AU66" i="6"/>
  <c r="AU67" i="6" s="1"/>
  <c r="AV65" i="6"/>
  <c r="AG62" i="6"/>
  <c r="DD3" i="7"/>
  <c r="DD8" i="7"/>
  <c r="DD13" i="7"/>
  <c r="DD45" i="7"/>
  <c r="DD52" i="7"/>
  <c r="DC51" i="7"/>
  <c r="CH20" i="7"/>
  <c r="DS30" i="8" l="1"/>
  <c r="DS29" i="8"/>
  <c r="DS28" i="8"/>
  <c r="DS27" i="8"/>
  <c r="DS26" i="8"/>
  <c r="DT25" i="8"/>
  <c r="AV68" i="6"/>
  <c r="AV66" i="6"/>
  <c r="AV67" i="6" s="1"/>
  <c r="AW65" i="6"/>
  <c r="AV40" i="6"/>
  <c r="AV42" i="6" s="1"/>
  <c r="AV43" i="6" s="1"/>
  <c r="AW38" i="6"/>
  <c r="AH62" i="6"/>
  <c r="DC5" i="7"/>
  <c r="DC10" i="7"/>
  <c r="DC16" i="7"/>
  <c r="DC47" i="7"/>
  <c r="DC54" i="7"/>
  <c r="DE52" i="7"/>
  <c r="DD51" i="7"/>
  <c r="DD54" i="7" s="1"/>
  <c r="DD47" i="7"/>
  <c r="DE45" i="7"/>
  <c r="DD16" i="7"/>
  <c r="DE13" i="7"/>
  <c r="DD10" i="7"/>
  <c r="DE8" i="7"/>
  <c r="DD5" i="7"/>
  <c r="DE3" i="7"/>
  <c r="J20" i="1"/>
  <c r="O19" i="1"/>
  <c r="DT30" i="8" l="1"/>
  <c r="DT29" i="8"/>
  <c r="DT28" i="8"/>
  <c r="DT27" i="8"/>
  <c r="DT26" i="8"/>
  <c r="DU25" i="8"/>
  <c r="AW40" i="6"/>
  <c r="AW42" i="6" s="1"/>
  <c r="AW43" i="6" s="1"/>
  <c r="AX38" i="6"/>
  <c r="AW68" i="6"/>
  <c r="AW66" i="6"/>
  <c r="AW67" i="6" s="1"/>
  <c r="AX65" i="6"/>
  <c r="AI62" i="6"/>
  <c r="DF3" i="7"/>
  <c r="DF8" i="7"/>
  <c r="DF13" i="7"/>
  <c r="DF45" i="7"/>
  <c r="DF52" i="7"/>
  <c r="DE51" i="7"/>
  <c r="AC7" i="6"/>
  <c r="BP9" i="7"/>
  <c r="BS9" i="7"/>
  <c r="BV9" i="7"/>
  <c r="BY9" i="7"/>
  <c r="CB9" i="7"/>
  <c r="CE9" i="7"/>
  <c r="AE6" i="6"/>
  <c r="AE101" i="6"/>
  <c r="AE97" i="6"/>
  <c r="AE102" i="6"/>
  <c r="Z12" i="2"/>
  <c r="CG14" i="7"/>
  <c r="CF14" i="7"/>
  <c r="CG20" i="7"/>
  <c r="CF20" i="7"/>
  <c r="CG21" i="7"/>
  <c r="CF21" i="7"/>
  <c r="CG22" i="7"/>
  <c r="CF22" i="7"/>
  <c r="CG23" i="7"/>
  <c r="CF23" i="7"/>
  <c r="CG24" i="7"/>
  <c r="CF24" i="7"/>
  <c r="CG26" i="7"/>
  <c r="CF26" i="7"/>
  <c r="CG37" i="7"/>
  <c r="CF37" i="7"/>
  <c r="DU30" i="8" l="1"/>
  <c r="DU29" i="8"/>
  <c r="DU28" i="8"/>
  <c r="DU27" i="8"/>
  <c r="DU26" i="8"/>
  <c r="DV25" i="8"/>
  <c r="AX68" i="6"/>
  <c r="AX66" i="6"/>
  <c r="AX67" i="6" s="1"/>
  <c r="AY65" i="6"/>
  <c r="AX40" i="6"/>
  <c r="AX42" i="6" s="1"/>
  <c r="AX43" i="6" s="1"/>
  <c r="AY38" i="6"/>
  <c r="AF102" i="6"/>
  <c r="AF97" i="6"/>
  <c r="AF101" i="6"/>
  <c r="AJ62" i="6"/>
  <c r="DE5" i="7"/>
  <c r="DE10" i="7"/>
  <c r="DE16" i="7"/>
  <c r="DE47" i="7"/>
  <c r="DE54" i="7"/>
  <c r="DG52" i="7"/>
  <c r="DF51" i="7"/>
  <c r="DF54" i="7" s="1"/>
  <c r="DF47" i="7"/>
  <c r="DG45" i="7"/>
  <c r="DF16" i="7"/>
  <c r="DG13" i="7"/>
  <c r="DF10" i="7"/>
  <c r="DG8" i="7"/>
  <c r="DF5" i="7"/>
  <c r="DG3" i="7"/>
  <c r="CZ22" i="8"/>
  <c r="DB22" i="8"/>
  <c r="DC22" i="8"/>
  <c r="DD22" i="8"/>
  <c r="DE22" i="8"/>
  <c r="DF22" i="8"/>
  <c r="DG22" i="8"/>
  <c r="DH22" i="8"/>
  <c r="DI22" i="8"/>
  <c r="CX20" i="8"/>
  <c r="CX22" i="8" s="1"/>
  <c r="CY20" i="8"/>
  <c r="CY22" i="8" s="1"/>
  <c r="CA16" i="8"/>
  <c r="CA20" i="8" s="1"/>
  <c r="CA22" i="8" s="1"/>
  <c r="CB16" i="8"/>
  <c r="CB20" i="8" s="1"/>
  <c r="CB22" i="8" s="1"/>
  <c r="CC16" i="8"/>
  <c r="CC20" i="8" s="1"/>
  <c r="CC22" i="8" s="1"/>
  <c r="CD16" i="8"/>
  <c r="CD20" i="8" s="1"/>
  <c r="CD22" i="8" s="1"/>
  <c r="CF22" i="8"/>
  <c r="CH16" i="8"/>
  <c r="CH20" i="8" s="1"/>
  <c r="CH22" i="8" s="1"/>
  <c r="CI16" i="8"/>
  <c r="CI20" i="8" s="1"/>
  <c r="CI22" i="8" s="1"/>
  <c r="CJ16" i="8"/>
  <c r="CJ20" i="8" s="1"/>
  <c r="CJ22" i="8" s="1"/>
  <c r="CK16" i="8"/>
  <c r="CK20" i="8" s="1"/>
  <c r="CK22" i="8" s="1"/>
  <c r="CL16" i="8"/>
  <c r="CL20" i="8" s="1"/>
  <c r="CL22" i="8" s="1"/>
  <c r="CM16" i="8"/>
  <c r="CM20" i="8" s="1"/>
  <c r="CM22" i="8" s="1"/>
  <c r="CN16" i="8"/>
  <c r="CN20" i="8" s="1"/>
  <c r="CN22" i="8" s="1"/>
  <c r="CO16" i="8"/>
  <c r="CO20" i="8" s="1"/>
  <c r="CO22" i="8" s="1"/>
  <c r="CP16" i="8"/>
  <c r="CP20" i="8" s="1"/>
  <c r="CP22" i="8" s="1"/>
  <c r="CQ16" i="8"/>
  <c r="CQ20" i="8" s="1"/>
  <c r="CQ22" i="8" s="1"/>
  <c r="CR16" i="8"/>
  <c r="CR20" i="8" s="1"/>
  <c r="CR22" i="8" s="1"/>
  <c r="CS16" i="8"/>
  <c r="CS20" i="8" s="1"/>
  <c r="CS22" i="8" s="1"/>
  <c r="CT16" i="8"/>
  <c r="CT20" i="8" s="1"/>
  <c r="CT22" i="8" s="1"/>
  <c r="CU16" i="8"/>
  <c r="CU20" i="8" s="1"/>
  <c r="CU22" i="8" s="1"/>
  <c r="CV16" i="8"/>
  <c r="CV20" i="8" s="1"/>
  <c r="CV22" i="8" s="1"/>
  <c r="CW16" i="8"/>
  <c r="CW20" i="8" s="1"/>
  <c r="CW22" i="8" s="1"/>
  <c r="BZ12" i="8"/>
  <c r="CA12" i="8"/>
  <c r="CB12" i="8"/>
  <c r="CC12" i="8"/>
  <c r="CD12" i="8"/>
  <c r="CH12" i="8"/>
  <c r="CI12" i="8"/>
  <c r="CJ12" i="8"/>
  <c r="CK12" i="8"/>
  <c r="CL12" i="8"/>
  <c r="CM12" i="8"/>
  <c r="CN12" i="8"/>
  <c r="CO12" i="8"/>
  <c r="CP12" i="8"/>
  <c r="CQ12" i="8"/>
  <c r="CR12" i="8"/>
  <c r="CS12" i="8"/>
  <c r="CT12" i="8"/>
  <c r="CU12" i="8"/>
  <c r="CV12" i="8"/>
  <c r="CW12" i="8"/>
  <c r="CX12" i="8"/>
  <c r="CY12" i="8"/>
  <c r="CZ12" i="8"/>
  <c r="DA12" i="8"/>
  <c r="DB12" i="8"/>
  <c r="DC12" i="8"/>
  <c r="DD12" i="8"/>
  <c r="DE12" i="8"/>
  <c r="DF12" i="8"/>
  <c r="DV30" i="8" l="1"/>
  <c r="DV29" i="8"/>
  <c r="DV28" i="8"/>
  <c r="DV27" i="8"/>
  <c r="DV26" i="8"/>
  <c r="DW25" i="8"/>
  <c r="AY40" i="6"/>
  <c r="AY42" i="6" s="1"/>
  <c r="AY43" i="6" s="1"/>
  <c r="AZ38" i="6"/>
  <c r="AY68" i="6"/>
  <c r="AY66" i="6"/>
  <c r="AY67" i="6" s="1"/>
  <c r="AZ65" i="6"/>
  <c r="AK62" i="6"/>
  <c r="AK63" i="6"/>
  <c r="AG101" i="6"/>
  <c r="AG97" i="6"/>
  <c r="AG102" i="6"/>
  <c r="DH3" i="7"/>
  <c r="DH8" i="7"/>
  <c r="DH13" i="7"/>
  <c r="DH45" i="7"/>
  <c r="DH52" i="7"/>
  <c r="DG51" i="7"/>
  <c r="BZ16" i="8"/>
  <c r="BZ20" i="8" s="1"/>
  <c r="BZ22" i="8" s="1"/>
  <c r="DW30" i="8" l="1"/>
  <c r="DW29" i="8"/>
  <c r="DW28" i="8"/>
  <c r="DW27" i="8"/>
  <c r="DW26" i="8"/>
  <c r="DX25" i="8"/>
  <c r="AZ68" i="6"/>
  <c r="AZ66" i="6"/>
  <c r="AZ67" i="6" s="1"/>
  <c r="BA65" i="6"/>
  <c r="AZ40" i="6"/>
  <c r="AZ42" i="6" s="1"/>
  <c r="AZ43" i="6" s="1"/>
  <c r="BA38" i="6"/>
  <c r="AH102" i="6"/>
  <c r="AH97" i="6"/>
  <c r="AH101" i="6"/>
  <c r="DG5" i="7"/>
  <c r="DG10" i="7"/>
  <c r="DG16" i="7"/>
  <c r="DG47" i="7"/>
  <c r="DG54" i="7"/>
  <c r="DI52" i="7"/>
  <c r="DH51" i="7"/>
  <c r="DH54" i="7" s="1"/>
  <c r="DH47" i="7"/>
  <c r="DI45" i="7"/>
  <c r="DH16" i="7"/>
  <c r="DI13" i="7"/>
  <c r="DH10" i="7"/>
  <c r="DI8" i="7"/>
  <c r="DH5" i="7"/>
  <c r="DI3" i="7"/>
  <c r="BY16" i="8"/>
  <c r="BY20" i="8" s="1"/>
  <c r="BY22" i="8" s="1"/>
  <c r="BY12" i="8"/>
  <c r="DX30" i="8" l="1"/>
  <c r="DX29" i="8"/>
  <c r="DX28" i="8"/>
  <c r="DX27" i="8"/>
  <c r="DX26" i="8"/>
  <c r="DY25" i="8"/>
  <c r="BA40" i="6"/>
  <c r="BA42" i="6" s="1"/>
  <c r="BA43" i="6" s="1"/>
  <c r="BB38" i="6"/>
  <c r="BB40" i="6" s="1"/>
  <c r="BB42" i="6" s="1"/>
  <c r="BB43" i="6" s="1"/>
  <c r="BA68" i="6"/>
  <c r="BA66" i="6"/>
  <c r="BA67" i="6" s="1"/>
  <c r="BB65" i="6"/>
  <c r="AI101" i="6"/>
  <c r="AI97" i="6"/>
  <c r="AI102" i="6"/>
  <c r="DJ3" i="7"/>
  <c r="DJ8" i="7"/>
  <c r="DJ13" i="7"/>
  <c r="DJ45" i="7"/>
  <c r="DJ52" i="7"/>
  <c r="DI51" i="7"/>
  <c r="D42" i="6"/>
  <c r="BQ37" i="7"/>
  <c r="BR37" i="7"/>
  <c r="BS37" i="7"/>
  <c r="BU26" i="7"/>
  <c r="BT26" i="7" s="1"/>
  <c r="BU23" i="7"/>
  <c r="BT23" i="7" s="1"/>
  <c r="BM4" i="7"/>
  <c r="BM15" i="7" s="1"/>
  <c r="CI15" i="7"/>
  <c r="CJ15" i="7"/>
  <c r="CK15" i="7"/>
  <c r="CL15" i="7"/>
  <c r="CM15" i="7"/>
  <c r="CN15" i="7"/>
  <c r="CO15" i="7"/>
  <c r="CP15" i="7"/>
  <c r="CQ15" i="7"/>
  <c r="CR15" i="7"/>
  <c r="CS15" i="7"/>
  <c r="CT15" i="7"/>
  <c r="CU15" i="7"/>
  <c r="CV15" i="7"/>
  <c r="CW15" i="7"/>
  <c r="CX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CX17" i="7"/>
  <c r="CW17" i="7"/>
  <c r="CV17" i="7"/>
  <c r="CU17" i="7"/>
  <c r="CT17" i="7"/>
  <c r="CS17" i="7"/>
  <c r="CR17" i="7"/>
  <c r="CQ17" i="7"/>
  <c r="CP17" i="7"/>
  <c r="CO17" i="7"/>
  <c r="CN17" i="7"/>
  <c r="CM17" i="7"/>
  <c r="CL17" i="7"/>
  <c r="CK17" i="7"/>
  <c r="CF17" i="7"/>
  <c r="CE17" i="7"/>
  <c r="BX17" i="7"/>
  <c r="BW17" i="7"/>
  <c r="BV17" i="7"/>
  <c r="BU17" i="7"/>
  <c r="BT17" i="7"/>
  <c r="BS17" i="7"/>
  <c r="BR17" i="7"/>
  <c r="BQ17" i="7"/>
  <c r="BP17" i="7"/>
  <c r="BO17" i="7"/>
  <c r="BN17" i="7"/>
  <c r="BM17" i="7"/>
  <c r="BL17" i="7"/>
  <c r="BK17" i="7"/>
  <c r="BJ17" i="7"/>
  <c r="BI17" i="7"/>
  <c r="BH17" i="7"/>
  <c r="BG17" i="7"/>
  <c r="BF17" i="7"/>
  <c r="BE17" i="7"/>
  <c r="BD17" i="7"/>
  <c r="BC17" i="7"/>
  <c r="BB17" i="7"/>
  <c r="BA17" i="7"/>
  <c r="AZ17" i="7"/>
  <c r="AY17" i="7"/>
  <c r="AX17" i="7"/>
  <c r="AW17" i="7"/>
  <c r="AV17" i="7"/>
  <c r="AU17" i="7"/>
  <c r="AT17" i="7"/>
  <c r="AS17" i="7"/>
  <c r="AR17" i="7"/>
  <c r="AQ17" i="7"/>
  <c r="AP17"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CD17" i="7"/>
  <c r="CG17" i="7"/>
  <c r="D13" i="7"/>
  <c r="C13"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DY30" i="8" l="1"/>
  <c r="DY29" i="8"/>
  <c r="DY28" i="8"/>
  <c r="DY27" i="8"/>
  <c r="DY26" i="8"/>
  <c r="DZ25" i="8"/>
  <c r="BB68" i="6"/>
  <c r="BB66" i="6"/>
  <c r="BB67" i="6" s="1"/>
  <c r="AJ102" i="6"/>
  <c r="AJ97" i="6"/>
  <c r="AJ101" i="6"/>
  <c r="DI5" i="7"/>
  <c r="DI10" i="7"/>
  <c r="DI16" i="7"/>
  <c r="DI47" i="7"/>
  <c r="DI54" i="7"/>
  <c r="DK52" i="7"/>
  <c r="DJ51" i="7"/>
  <c r="DJ54" i="7" s="1"/>
  <c r="DJ47" i="7"/>
  <c r="DK45" i="7"/>
  <c r="DJ16" i="7"/>
  <c r="DK13" i="7"/>
  <c r="DJ10" i="7"/>
  <c r="DK8" i="7"/>
  <c r="DJ5" i="7"/>
  <c r="DK3" i="7"/>
  <c r="BL4" i="7"/>
  <c r="BY17" i="7"/>
  <c r="BZ17" i="7"/>
  <c r="CH17" i="7"/>
  <c r="E13" i="7"/>
  <c r="CB17" i="7"/>
  <c r="CJ17" i="7"/>
  <c r="CA17" i="7"/>
  <c r="CI17" i="7"/>
  <c r="CC17" i="7"/>
  <c r="BX16" i="8"/>
  <c r="BX20" i="8" s="1"/>
  <c r="BX22" i="8" s="1"/>
  <c r="BX12" i="8"/>
  <c r="AF4" i="6"/>
  <c r="AF9" i="6" s="1"/>
  <c r="AH4" i="6"/>
  <c r="AI4" i="6"/>
  <c r="AI9" i="6" s="1"/>
  <c r="AJ4" i="6"/>
  <c r="AJ9" i="6" s="1"/>
  <c r="AK4" i="6"/>
  <c r="AK9" i="6" s="1"/>
  <c r="AL4" i="6"/>
  <c r="AM4" i="6"/>
  <c r="AM9" i="6" s="1"/>
  <c r="AN4" i="6"/>
  <c r="AN9" i="6" s="1"/>
  <c r="AO4" i="6"/>
  <c r="AP4" i="6"/>
  <c r="AP9" i="6" s="1"/>
  <c r="AF16" i="6"/>
  <c r="AG16" i="6"/>
  <c r="AH16" i="6"/>
  <c r="AI16" i="6"/>
  <c r="AJ16" i="6"/>
  <c r="AK16" i="6"/>
  <c r="AL16" i="6"/>
  <c r="AM16" i="6"/>
  <c r="AN16" i="6"/>
  <c r="AO16" i="6"/>
  <c r="AP16" i="6"/>
  <c r="AF17" i="6"/>
  <c r="AF19" i="6"/>
  <c r="AG19" i="6"/>
  <c r="AH19" i="6"/>
  <c r="AI19" i="6"/>
  <c r="AJ19" i="6"/>
  <c r="AJ21" i="6" s="1"/>
  <c r="AJ50" i="6" s="1"/>
  <c r="AK19" i="6"/>
  <c r="AL19" i="6"/>
  <c r="AM19" i="6"/>
  <c r="AO19" i="6"/>
  <c r="AP19" i="6"/>
  <c r="AJ51" i="6"/>
  <c r="AJ52" i="6" s="1"/>
  <c r="AN53" i="6"/>
  <c r="AF63" i="6"/>
  <c r="AG63" i="6"/>
  <c r="AH63" i="6"/>
  <c r="AI63" i="6"/>
  <c r="AJ63" i="6"/>
  <c r="AF107" i="6"/>
  <c r="AF89" i="6" s="1"/>
  <c r="AG107" i="6"/>
  <c r="AG89" i="6" s="1"/>
  <c r="AH107" i="6"/>
  <c r="AH89" i="6" s="1"/>
  <c r="AI107" i="6"/>
  <c r="AI89" i="6" s="1"/>
  <c r="AJ107" i="6"/>
  <c r="AJ89" i="6" s="1"/>
  <c r="AM89" i="6"/>
  <c r="AN89" i="6"/>
  <c r="AP89" i="6"/>
  <c r="AF111" i="6"/>
  <c r="AG111" i="6"/>
  <c r="AH111" i="6"/>
  <c r="AI111" i="6"/>
  <c r="AJ111" i="6"/>
  <c r="AF112" i="6"/>
  <c r="AG112" i="6"/>
  <c r="AH112" i="6"/>
  <c r="AI112" i="6"/>
  <c r="AJ112" i="6"/>
  <c r="L19" i="6"/>
  <c r="M19" i="6"/>
  <c r="N19" i="6"/>
  <c r="O19" i="6"/>
  <c r="P19" i="6"/>
  <c r="Q19" i="6"/>
  <c r="R19" i="6"/>
  <c r="S19" i="6"/>
  <c r="T19" i="6"/>
  <c r="U19" i="6"/>
  <c r="V19" i="6"/>
  <c r="W19" i="6"/>
  <c r="X19" i="6"/>
  <c r="Y19" i="6"/>
  <c r="Z19" i="6"/>
  <c r="AA19" i="6"/>
  <c r="AB19" i="6"/>
  <c r="AC19" i="6"/>
  <c r="AD19" i="6"/>
  <c r="AE19" i="6"/>
  <c r="AD4" i="6"/>
  <c r="AD9" i="6" s="1"/>
  <c r="AE4" i="6"/>
  <c r="AE9" i="6" s="1"/>
  <c r="AE63" i="6"/>
  <c r="AD47" i="6"/>
  <c r="AD16" i="6"/>
  <c r="AE16" i="6"/>
  <c r="AD17" i="6"/>
  <c r="AE17" i="6"/>
  <c r="CC37" i="7"/>
  <c r="CD37" i="7"/>
  <c r="CE37" i="7"/>
  <c r="BY4" i="7"/>
  <c r="BY15" i="7" s="1"/>
  <c r="BX4" i="7"/>
  <c r="BX15" i="7" s="1"/>
  <c r="BY37" i="7"/>
  <c r="BW37" i="7" s="1"/>
  <c r="CA37" i="7"/>
  <c r="CB37"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CT6" i="7"/>
  <c r="CU6" i="7"/>
  <c r="CV6" i="7"/>
  <c r="CW6" i="7"/>
  <c r="CX6"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T48" i="7"/>
  <c r="U48" i="7"/>
  <c r="V48" i="7"/>
  <c r="W48" i="7"/>
  <c r="X48" i="7"/>
  <c r="Y48" i="7"/>
  <c r="Z48" i="7"/>
  <c r="AA48" i="7"/>
  <c r="AB48" i="7"/>
  <c r="CE11" i="7"/>
  <c r="CG11" i="7"/>
  <c r="CT11" i="7"/>
  <c r="CU11" i="7"/>
  <c r="CV11" i="7"/>
  <c r="CW11" i="7"/>
  <c r="CX11" i="7"/>
  <c r="CE25" i="7"/>
  <c r="CF25" i="7"/>
  <c r="CG25" i="7"/>
  <c r="CH25" i="7"/>
  <c r="CI25" i="7"/>
  <c r="CJ25" i="7"/>
  <c r="CK25" i="7"/>
  <c r="CL25" i="7"/>
  <c r="CM25" i="7"/>
  <c r="CN25" i="7"/>
  <c r="CO25" i="7"/>
  <c r="CP25" i="7"/>
  <c r="CQ25" i="7"/>
  <c r="CR25" i="7"/>
  <c r="CS25" i="7"/>
  <c r="CT25" i="7"/>
  <c r="CU25" i="7"/>
  <c r="CV25" i="7"/>
  <c r="CW25" i="7"/>
  <c r="CX25" i="7"/>
  <c r="CE27" i="7"/>
  <c r="CF27" i="7"/>
  <c r="CG27" i="7"/>
  <c r="CH27" i="7"/>
  <c r="CI27" i="7"/>
  <c r="CJ27" i="7"/>
  <c r="CK27" i="7"/>
  <c r="CL27" i="7"/>
  <c r="CM27" i="7"/>
  <c r="CN27" i="7"/>
  <c r="CO27" i="7"/>
  <c r="CP27" i="7"/>
  <c r="CQ27" i="7"/>
  <c r="CR27" i="7"/>
  <c r="CS27" i="7"/>
  <c r="CT27" i="7"/>
  <c r="CU27" i="7"/>
  <c r="CV27" i="7"/>
  <c r="CW27" i="7"/>
  <c r="CX27" i="7"/>
  <c r="CE28" i="7"/>
  <c r="CF28" i="7"/>
  <c r="CG28" i="7"/>
  <c r="CH28" i="7"/>
  <c r="CI28" i="7"/>
  <c r="CJ28" i="7"/>
  <c r="CK28" i="7"/>
  <c r="CL28" i="7"/>
  <c r="CM28" i="7"/>
  <c r="CN28" i="7"/>
  <c r="CO28" i="7"/>
  <c r="CP28" i="7"/>
  <c r="CQ28" i="7"/>
  <c r="CR28" i="7"/>
  <c r="CS28" i="7"/>
  <c r="CT28" i="7"/>
  <c r="CU28" i="7"/>
  <c r="CV28" i="7"/>
  <c r="CW28" i="7"/>
  <c r="CX28" i="7"/>
  <c r="Q11" i="12"/>
  <c r="DZ30" i="8" l="1"/>
  <c r="DZ29" i="8"/>
  <c r="DZ28" i="8"/>
  <c r="DZ27" i="8"/>
  <c r="DZ26" i="8"/>
  <c r="EA25" i="8"/>
  <c r="AK101" i="6"/>
  <c r="AK97" i="6"/>
  <c r="AK102" i="6"/>
  <c r="CW33" i="7"/>
  <c r="CW32" i="7"/>
  <c r="CV33" i="7"/>
  <c r="CV32" i="7"/>
  <c r="CU33" i="7"/>
  <c r="CU32" i="7"/>
  <c r="CW34" i="7"/>
  <c r="CW31" i="7"/>
  <c r="CV34" i="7"/>
  <c r="CV31" i="7"/>
  <c r="CU34" i="7"/>
  <c r="CU31" i="7"/>
  <c r="CX34" i="7"/>
  <c r="CX32" i="7"/>
  <c r="CX33" i="7"/>
  <c r="DL3" i="7"/>
  <c r="DL8" i="7"/>
  <c r="DL13" i="7"/>
  <c r="DL45" i="7"/>
  <c r="DL52" i="7"/>
  <c r="DK51" i="7"/>
  <c r="CT32" i="7"/>
  <c r="CT31" i="7"/>
  <c r="CS32" i="7"/>
  <c r="CS31" i="7"/>
  <c r="CR32" i="7"/>
  <c r="CR31" i="7"/>
  <c r="CQ32" i="7"/>
  <c r="CQ31" i="7"/>
  <c r="CP32" i="7"/>
  <c r="CP31" i="7"/>
  <c r="CO32" i="7"/>
  <c r="CO31" i="7"/>
  <c r="CT33" i="7"/>
  <c r="CT34" i="7"/>
  <c r="CS34" i="7"/>
  <c r="CS33" i="7"/>
  <c r="CR33" i="7"/>
  <c r="CR34" i="7"/>
  <c r="CQ34" i="7"/>
  <c r="CQ33" i="7"/>
  <c r="CP34" i="7"/>
  <c r="CP33" i="7"/>
  <c r="CO33" i="7"/>
  <c r="CO34" i="7"/>
  <c r="Y12" i="12"/>
  <c r="CN31" i="7"/>
  <c r="CN32" i="7"/>
  <c r="CM31" i="7"/>
  <c r="CM32" i="7"/>
  <c r="CL31" i="7"/>
  <c r="CL32" i="7"/>
  <c r="CN34" i="7"/>
  <c r="CN33" i="7"/>
  <c r="CM34" i="7"/>
  <c r="CM33" i="7"/>
  <c r="CL34" i="7"/>
  <c r="CL33" i="7"/>
  <c r="CJ32" i="7"/>
  <c r="CJ31" i="7"/>
  <c r="CI32" i="7"/>
  <c r="CI31" i="7"/>
  <c r="CK32" i="7"/>
  <c r="CK31" i="7"/>
  <c r="CK34" i="7"/>
  <c r="CK33" i="7"/>
  <c r="CJ34" i="7"/>
  <c r="CJ33" i="7"/>
  <c r="CI34" i="7"/>
  <c r="CI33" i="7"/>
  <c r="AL9" i="6"/>
  <c r="AH9" i="6"/>
  <c r="AO9" i="6"/>
  <c r="AO13" i="6" s="1"/>
  <c r="AG9" i="6"/>
  <c r="BP4" i="7"/>
  <c r="BK4" i="7"/>
  <c r="BL15" i="7"/>
  <c r="CH32" i="7"/>
  <c r="CH31" i="7"/>
  <c r="CF32" i="7"/>
  <c r="CF31" i="7"/>
  <c r="CG32" i="7"/>
  <c r="CG31" i="7"/>
  <c r="CH34" i="7"/>
  <c r="CH33" i="7"/>
  <c r="CF34" i="7"/>
  <c r="CF33" i="7"/>
  <c r="CG34" i="7"/>
  <c r="CG33" i="7"/>
  <c r="CE32" i="7"/>
  <c r="CE34" i="7"/>
  <c r="CE33" i="7"/>
  <c r="CE31" i="7"/>
  <c r="F13" i="7"/>
  <c r="AE21" i="6"/>
  <c r="AL21" i="6"/>
  <c r="AL50" i="6" s="1"/>
  <c r="AL53" i="6" s="1"/>
  <c r="AD21" i="6"/>
  <c r="AG21" i="6"/>
  <c r="AG50" i="6" s="1"/>
  <c r="AG51" i="6" s="1"/>
  <c r="AG52" i="6" s="1"/>
  <c r="AK21" i="6"/>
  <c r="AN21" i="6"/>
  <c r="AG53" i="6"/>
  <c r="AO21" i="6"/>
  <c r="AO50" i="6" s="1"/>
  <c r="AP13" i="6"/>
  <c r="AP11" i="6"/>
  <c r="AP12" i="6" s="1"/>
  <c r="AF21" i="6"/>
  <c r="AF50" i="6" s="1"/>
  <c r="AF53" i="6" s="1"/>
  <c r="AI21" i="6"/>
  <c r="AI50" i="6" s="1"/>
  <c r="AI51" i="6" s="1"/>
  <c r="AI52" i="6" s="1"/>
  <c r="AM21" i="6"/>
  <c r="AP21" i="6"/>
  <c r="AH21" i="6"/>
  <c r="AH50" i="6" s="1"/>
  <c r="AH51" i="6" s="1"/>
  <c r="AH52" i="6" s="1"/>
  <c r="AL30" i="6"/>
  <c r="AL31" i="6" s="1"/>
  <c r="AN30" i="6"/>
  <c r="AN31" i="6" s="1"/>
  <c r="AN11" i="6"/>
  <c r="AN12" i="6" s="1"/>
  <c r="AN13" i="6"/>
  <c r="AJ53" i="6"/>
  <c r="AN51" i="6"/>
  <c r="AN52" i="6" s="1"/>
  <c r="AF51" i="6"/>
  <c r="AF52" i="6" s="1"/>
  <c r="AO11" i="6"/>
  <c r="AO12" i="6" s="1"/>
  <c r="CF11" i="7"/>
  <c r="BW4" i="7"/>
  <c r="BX37" i="7"/>
  <c r="AA102" i="6"/>
  <c r="BZ21" i="7"/>
  <c r="CA21" i="7"/>
  <c r="CA26" i="7"/>
  <c r="BZ26" i="7"/>
  <c r="CA23" i="7"/>
  <c r="BZ23" i="7"/>
  <c r="D47" i="6"/>
  <c r="D49" i="6" s="1"/>
  <c r="E47" i="6"/>
  <c r="E49" i="6" s="1"/>
  <c r="F47" i="6"/>
  <c r="F49" i="6" s="1"/>
  <c r="G47" i="6"/>
  <c r="G49" i="6" s="1"/>
  <c r="H47" i="6"/>
  <c r="H49" i="6" s="1"/>
  <c r="I47" i="6"/>
  <c r="I49" i="6" s="1"/>
  <c r="J47" i="6"/>
  <c r="J49" i="6" s="1"/>
  <c r="K47" i="6"/>
  <c r="K49" i="6" s="1"/>
  <c r="L47" i="6"/>
  <c r="L49" i="6" s="1"/>
  <c r="M47" i="6"/>
  <c r="M49" i="6" s="1"/>
  <c r="N47" i="6"/>
  <c r="N49" i="6" s="1"/>
  <c r="O47" i="6"/>
  <c r="O49" i="6" s="1"/>
  <c r="P47" i="6"/>
  <c r="P49" i="6" s="1"/>
  <c r="Q47" i="6"/>
  <c r="Q49" i="6" s="1"/>
  <c r="R47" i="6"/>
  <c r="R49" i="6" s="1"/>
  <c r="S47" i="6"/>
  <c r="S49" i="6" s="1"/>
  <c r="T47" i="6"/>
  <c r="T49" i="6" s="1"/>
  <c r="U47" i="6"/>
  <c r="U49" i="6" s="1"/>
  <c r="V47" i="6"/>
  <c r="V49" i="6" s="1"/>
  <c r="W47" i="6"/>
  <c r="W49" i="6" s="1"/>
  <c r="X47" i="6"/>
  <c r="X49" i="6" s="1"/>
  <c r="Y47" i="6"/>
  <c r="Y49" i="6" s="1"/>
  <c r="Z47" i="6"/>
  <c r="Z49" i="6" s="1"/>
  <c r="AA47" i="6"/>
  <c r="AA49" i="6" s="1"/>
  <c r="AB47" i="6"/>
  <c r="AC47" i="6"/>
  <c r="D50" i="6"/>
  <c r="C53" i="6"/>
  <c r="C51" i="6"/>
  <c r="C29" i="6"/>
  <c r="C16" i="6"/>
  <c r="C17" i="6"/>
  <c r="C19" i="6"/>
  <c r="L89" i="1"/>
  <c r="CB27" i="7"/>
  <c r="D43" i="6"/>
  <c r="C38" i="6"/>
  <c r="D38" i="6" s="1"/>
  <c r="B56" i="6"/>
  <c r="C55" i="6"/>
  <c r="BS11" i="7"/>
  <c r="BV11" i="7"/>
  <c r="BY11" i="7"/>
  <c r="CB11" i="7"/>
  <c r="AA62" i="6"/>
  <c r="AD63" i="6" s="1"/>
  <c r="X63" i="6"/>
  <c r="Y63" i="6"/>
  <c r="Z63" i="6"/>
  <c r="X65" i="6"/>
  <c r="Y65" i="6" s="1"/>
  <c r="Z65" i="6" s="1"/>
  <c r="AA65" i="6" s="1"/>
  <c r="AC65" i="6"/>
  <c r="AD65" i="6" s="1"/>
  <c r="AE65" i="6" s="1"/>
  <c r="AG65" i="6" s="1"/>
  <c r="AH65" i="6" s="1"/>
  <c r="G66" i="6"/>
  <c r="H66" i="6"/>
  <c r="I66" i="6"/>
  <c r="J66" i="6"/>
  <c r="K66" i="6"/>
  <c r="L66" i="6"/>
  <c r="M66" i="6"/>
  <c r="N66" i="6"/>
  <c r="O66" i="6"/>
  <c r="P66" i="6"/>
  <c r="Q66" i="6"/>
  <c r="R66" i="6"/>
  <c r="S66" i="6"/>
  <c r="T66" i="6"/>
  <c r="U66" i="6"/>
  <c r="V66" i="6"/>
  <c r="W66" i="6"/>
  <c r="G67" i="6"/>
  <c r="H67" i="6"/>
  <c r="I67" i="6"/>
  <c r="J67" i="6"/>
  <c r="K67" i="6"/>
  <c r="L67" i="6"/>
  <c r="M67" i="6"/>
  <c r="N67" i="6"/>
  <c r="O67" i="6"/>
  <c r="P67" i="6"/>
  <c r="Q67" i="6"/>
  <c r="R67" i="6"/>
  <c r="S67" i="6"/>
  <c r="T67" i="6"/>
  <c r="U67" i="6"/>
  <c r="V67" i="6"/>
  <c r="W67" i="6"/>
  <c r="G68" i="6"/>
  <c r="H68" i="6"/>
  <c r="I68" i="6"/>
  <c r="J68" i="6"/>
  <c r="K68" i="6"/>
  <c r="L68" i="6"/>
  <c r="M68" i="6"/>
  <c r="N68" i="6"/>
  <c r="O68" i="6"/>
  <c r="P68" i="6"/>
  <c r="Q68" i="6"/>
  <c r="R68" i="6"/>
  <c r="S68" i="6"/>
  <c r="T68" i="6"/>
  <c r="U68" i="6"/>
  <c r="V68" i="6"/>
  <c r="W68" i="6"/>
  <c r="Z10" i="2"/>
  <c r="D4" i="2"/>
  <c r="D3" i="2" s="1"/>
  <c r="C3" i="2"/>
  <c r="AE112" i="6"/>
  <c r="AC100" i="6"/>
  <c r="U107" i="6"/>
  <c r="V107" i="6"/>
  <c r="W107" i="6"/>
  <c r="X107" i="6"/>
  <c r="Y107" i="6"/>
  <c r="Z107" i="6"/>
  <c r="AA97" i="6"/>
  <c r="BC99" i="6"/>
  <c r="BD99" i="6"/>
  <c r="BE99" i="6"/>
  <c r="BF99" i="6"/>
  <c r="BG99" i="6"/>
  <c r="X28" i="2"/>
  <c r="Y109" i="6" s="1"/>
  <c r="Y28" i="2"/>
  <c r="Z109" i="6"/>
  <c r="Y100" i="6"/>
  <c r="Z100" i="6" s="1"/>
  <c r="AB111" i="6"/>
  <c r="AC111" i="6"/>
  <c r="AD111" i="6"/>
  <c r="AE111" i="6"/>
  <c r="AA111" i="6"/>
  <c r="AE107" i="6"/>
  <c r="AE89" i="6" s="1"/>
  <c r="U111" i="6"/>
  <c r="V111" i="6"/>
  <c r="W111" i="6"/>
  <c r="U110" i="6"/>
  <c r="V110" i="6"/>
  <c r="W110" i="6"/>
  <c r="X110" i="6"/>
  <c r="B110" i="6"/>
  <c r="Y111" i="6"/>
  <c r="Z111" i="6"/>
  <c r="X111" i="6"/>
  <c r="B111" i="6"/>
  <c r="B107" i="6"/>
  <c r="O38" i="7"/>
  <c r="P38" i="7"/>
  <c r="Q38" i="7"/>
  <c r="R38" i="7"/>
  <c r="S38" i="7"/>
  <c r="T38" i="7"/>
  <c r="U38" i="7"/>
  <c r="V38" i="7"/>
  <c r="W38" i="7"/>
  <c r="X38" i="7"/>
  <c r="Y38" i="7"/>
  <c r="Z38" i="7"/>
  <c r="AA38" i="7"/>
  <c r="AB38" i="7"/>
  <c r="AC38" i="7"/>
  <c r="AD38" i="7"/>
  <c r="AE38" i="7"/>
  <c r="AF38" i="7"/>
  <c r="AG38" i="7"/>
  <c r="AH38" i="7"/>
  <c r="AI38" i="7"/>
  <c r="BY38"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S27" i="7"/>
  <c r="S34" i="7" s="1"/>
  <c r="T27" i="7"/>
  <c r="T34" i="7" s="1"/>
  <c r="U27" i="7"/>
  <c r="U34" i="7" s="1"/>
  <c r="V27" i="7"/>
  <c r="V34" i="7" s="1"/>
  <c r="W27" i="7"/>
  <c r="W34" i="7" s="1"/>
  <c r="X27" i="7"/>
  <c r="X34" i="7" s="1"/>
  <c r="Y27" i="7"/>
  <c r="Y34" i="7" s="1"/>
  <c r="Z27" i="7"/>
  <c r="Z34" i="7" s="1"/>
  <c r="AA27" i="7"/>
  <c r="AA34" i="7" s="1"/>
  <c r="AB27" i="7"/>
  <c r="AB34" i="7" s="1"/>
  <c r="AC27" i="7"/>
  <c r="AC34" i="7" s="1"/>
  <c r="AD27" i="7"/>
  <c r="AD34" i="7" s="1"/>
  <c r="AE27" i="7"/>
  <c r="AE34" i="7" s="1"/>
  <c r="AF27" i="7"/>
  <c r="AF34" i="7" s="1"/>
  <c r="AG27" i="7"/>
  <c r="AG34" i="7" s="1"/>
  <c r="AH27" i="7"/>
  <c r="AH34" i="7" s="1"/>
  <c r="AI27" i="7"/>
  <c r="AI34" i="7" s="1"/>
  <c r="AJ27" i="7"/>
  <c r="AJ34" i="7" s="1"/>
  <c r="AK27" i="7"/>
  <c r="AK34" i="7" s="1"/>
  <c r="AL27" i="7"/>
  <c r="AL34" i="7" s="1"/>
  <c r="AM27" i="7"/>
  <c r="AM34" i="7" s="1"/>
  <c r="AN27" i="7"/>
  <c r="AN34" i="7" s="1"/>
  <c r="AO27" i="7"/>
  <c r="AO34" i="7" s="1"/>
  <c r="AP27" i="7"/>
  <c r="AP34" i="7" s="1"/>
  <c r="AQ27" i="7"/>
  <c r="AQ34" i="7" s="1"/>
  <c r="AR27" i="7"/>
  <c r="AR34" i="7" s="1"/>
  <c r="AS27" i="7"/>
  <c r="AS34" i="7" s="1"/>
  <c r="AT27" i="7"/>
  <c r="AT34" i="7" s="1"/>
  <c r="AU27" i="7"/>
  <c r="AU34" i="7" s="1"/>
  <c r="AV27" i="7"/>
  <c r="AV34" i="7" s="1"/>
  <c r="AW27" i="7"/>
  <c r="AW34" i="7" s="1"/>
  <c r="AX27" i="7"/>
  <c r="AX34" i="7" s="1"/>
  <c r="AY27" i="7"/>
  <c r="AY34" i="7" s="1"/>
  <c r="AZ27" i="7"/>
  <c r="AZ34" i="7" s="1"/>
  <c r="BA27" i="7"/>
  <c r="BA34" i="7" s="1"/>
  <c r="BB27" i="7"/>
  <c r="BB34" i="7" s="1"/>
  <c r="BC27" i="7"/>
  <c r="BC34" i="7" s="1"/>
  <c r="BD27" i="7"/>
  <c r="BD34" i="7" s="1"/>
  <c r="BE27" i="7"/>
  <c r="BE34" i="7" s="1"/>
  <c r="BF27" i="7"/>
  <c r="BF34" i="7" s="1"/>
  <c r="BG27" i="7"/>
  <c r="BG34" i="7" s="1"/>
  <c r="BH27" i="7"/>
  <c r="BH34" i="7" s="1"/>
  <c r="BI27" i="7"/>
  <c r="BI34" i="7" s="1"/>
  <c r="BJ27" i="7"/>
  <c r="BJ34" i="7" s="1"/>
  <c r="BK27" i="7"/>
  <c r="BK34" i="7" s="1"/>
  <c r="BL27" i="7"/>
  <c r="BL34" i="7" s="1"/>
  <c r="BM27" i="7"/>
  <c r="BM34" i="7" s="1"/>
  <c r="BN27" i="7"/>
  <c r="BO27" i="7"/>
  <c r="BP27" i="7"/>
  <c r="BQ27" i="7"/>
  <c r="BR27" i="7"/>
  <c r="BS27" i="7"/>
  <c r="BT27" i="7"/>
  <c r="BU27" i="7"/>
  <c r="BV27" i="7"/>
  <c r="BW27" i="7"/>
  <c r="BX27" i="7"/>
  <c r="BY27" i="7"/>
  <c r="CC27" i="7"/>
  <c r="CD27"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CB28" i="7"/>
  <c r="CC28" i="7"/>
  <c r="CD28" i="7"/>
  <c r="BZ11" i="7"/>
  <c r="CA11" i="7"/>
  <c r="CC11" i="7"/>
  <c r="CD11" i="7"/>
  <c r="AC16" i="6"/>
  <c r="AC17" i="6"/>
  <c r="AC91" i="6"/>
  <c r="AD91" i="6" s="1"/>
  <c r="AE91" i="6" s="1"/>
  <c r="AF91" i="6" s="1"/>
  <c r="AG91" i="6" s="1"/>
  <c r="AH91" i="6" s="1"/>
  <c r="AI91" i="6" s="1"/>
  <c r="AJ91" i="6" s="1"/>
  <c r="AK91" i="6" s="1"/>
  <c r="AL91" i="6" s="1"/>
  <c r="AC33" i="6"/>
  <c r="AD33" i="6" s="1"/>
  <c r="AC10" i="6"/>
  <c r="AD10" i="6" s="1"/>
  <c r="AE10" i="6" s="1"/>
  <c r="AC4" i="6"/>
  <c r="AC9" i="6" s="1"/>
  <c r="AF6" i="2"/>
  <c r="AG6" i="2"/>
  <c r="AH6" i="2"/>
  <c r="AI6" i="2"/>
  <c r="AJ6" i="2"/>
  <c r="AK6" i="2"/>
  <c r="AL6" i="2"/>
  <c r="AM6" i="2"/>
  <c r="AN6" i="2"/>
  <c r="AO6" i="2"/>
  <c r="AP6" i="2"/>
  <c r="AQ6" i="2"/>
  <c r="AR6" i="2"/>
  <c r="AS6" i="2"/>
  <c r="AE8" i="2"/>
  <c r="AF8" i="2"/>
  <c r="AG8" i="2"/>
  <c r="AH8" i="2"/>
  <c r="AI8" i="2"/>
  <c r="AJ8" i="2"/>
  <c r="AK8" i="2"/>
  <c r="AL8" i="2"/>
  <c r="AM8" i="2"/>
  <c r="AN8" i="2"/>
  <c r="AO8" i="2"/>
  <c r="AP8" i="2"/>
  <c r="AQ8" i="2"/>
  <c r="AR8" i="2"/>
  <c r="AS8" i="2"/>
  <c r="AE11" i="2"/>
  <c r="AF11" i="2"/>
  <c r="AI11" i="2"/>
  <c r="AJ11" i="2"/>
  <c r="AK11" i="2"/>
  <c r="AL11" i="2"/>
  <c r="AM11" i="2"/>
  <c r="AN11" i="2"/>
  <c r="AO11" i="2"/>
  <c r="AP11" i="2"/>
  <c r="AQ11" i="2"/>
  <c r="AR11" i="2"/>
  <c r="AS11" i="2"/>
  <c r="Z5" i="2"/>
  <c r="AH23" i="2"/>
  <c r="AI23" i="2"/>
  <c r="AJ23" i="2"/>
  <c r="AK23" i="2"/>
  <c r="AL23" i="2"/>
  <c r="AM23" i="2"/>
  <c r="AN23" i="2"/>
  <c r="AO23" i="2"/>
  <c r="AP23" i="2"/>
  <c r="AQ23" i="2"/>
  <c r="AR23" i="2"/>
  <c r="AS23" i="2"/>
  <c r="Z23" i="2"/>
  <c r="AA23" i="2"/>
  <c r="AP24" i="2"/>
  <c r="AQ24" i="2"/>
  <c r="AH25" i="2"/>
  <c r="AI25" i="2"/>
  <c r="AJ25" i="2"/>
  <c r="AK25" i="2"/>
  <c r="AK26" i="2" s="1"/>
  <c r="AL25" i="2"/>
  <c r="AM25" i="2"/>
  <c r="AN25" i="2"/>
  <c r="AO25" i="2"/>
  <c r="AO26" i="2" s="1"/>
  <c r="AP25" i="2"/>
  <c r="AQ25" i="2"/>
  <c r="AR25" i="2"/>
  <c r="AR26" i="2" s="1"/>
  <c r="AS25" i="2"/>
  <c r="AS26" i="2" s="1"/>
  <c r="AL26" i="2"/>
  <c r="AM26" i="2"/>
  <c r="AP26" i="2"/>
  <c r="AQ26" i="2"/>
  <c r="AH27" i="2"/>
  <c r="AI27" i="2"/>
  <c r="AJ27" i="2"/>
  <c r="AK27" i="2"/>
  <c r="AL27" i="2"/>
  <c r="AM27" i="2"/>
  <c r="AN27" i="2"/>
  <c r="AO27" i="2"/>
  <c r="AP27" i="2"/>
  <c r="AQ27" i="2"/>
  <c r="AR27" i="2"/>
  <c r="AS27" i="2"/>
  <c r="AL28" i="2"/>
  <c r="AM28" i="2"/>
  <c r="AN109" i="6" s="1"/>
  <c r="AN88" i="6" s="1"/>
  <c r="AN92" i="6" s="1"/>
  <c r="AN28" i="2"/>
  <c r="AO109" i="6" s="1"/>
  <c r="AO92" i="6" s="1"/>
  <c r="AO28" i="2"/>
  <c r="AP109" i="6" s="1"/>
  <c r="AP88" i="6" s="1"/>
  <c r="AP92" i="6" s="1"/>
  <c r="AP28" i="2"/>
  <c r="AQ109" i="6" s="1"/>
  <c r="AQ28" i="2"/>
  <c r="AR109" i="6" s="1"/>
  <c r="AR28" i="2"/>
  <c r="AS109" i="6" s="1"/>
  <c r="AS28" i="2"/>
  <c r="AM29" i="2"/>
  <c r="AO29" i="2"/>
  <c r="AP29" i="2"/>
  <c r="AR29" i="2"/>
  <c r="X23" i="2"/>
  <c r="Y23" i="2"/>
  <c r="Z7" i="2"/>
  <c r="Z9" i="2"/>
  <c r="AD13" i="10"/>
  <c r="AE13" i="10"/>
  <c r="AF13" i="10"/>
  <c r="AG13" i="10"/>
  <c r="AH13" i="10"/>
  <c r="AI13" i="10"/>
  <c r="AJ13" i="10"/>
  <c r="AK13" i="10"/>
  <c r="AL13" i="10"/>
  <c r="AL15" i="10" s="1"/>
  <c r="AD23" i="10"/>
  <c r="AD24" i="10" s="1"/>
  <c r="AE23" i="10"/>
  <c r="AF23" i="10"/>
  <c r="AG23" i="10"/>
  <c r="AG32" i="10" s="1"/>
  <c r="AH23" i="10"/>
  <c r="AH31" i="10" s="1"/>
  <c r="AI23" i="10"/>
  <c r="AI32" i="10" s="1"/>
  <c r="AJ23" i="10"/>
  <c r="AK23" i="10"/>
  <c r="AL23" i="10"/>
  <c r="AE24" i="10"/>
  <c r="AF24" i="10"/>
  <c r="AG24" i="10"/>
  <c r="AH24" i="10"/>
  <c r="AI24" i="10"/>
  <c r="AJ24" i="10"/>
  <c r="AK24" i="10"/>
  <c r="AL24" i="10"/>
  <c r="AD26" i="10"/>
  <c r="AE26" i="10"/>
  <c r="AF26" i="10"/>
  <c r="AG26" i="10"/>
  <c r="AH26" i="10"/>
  <c r="AI26" i="10"/>
  <c r="AJ26" i="10"/>
  <c r="AK26" i="10"/>
  <c r="AL26" i="10"/>
  <c r="AD27" i="10"/>
  <c r="AE27" i="10"/>
  <c r="AF27" i="10"/>
  <c r="AG27" i="10"/>
  <c r="AH27" i="10"/>
  <c r="AI27" i="10"/>
  <c r="AJ27" i="10"/>
  <c r="AK27" i="10"/>
  <c r="AL27" i="10"/>
  <c r="AD28" i="10"/>
  <c r="AE28" i="10"/>
  <c r="AF28" i="10"/>
  <c r="AG28" i="10"/>
  <c r="AH28" i="10"/>
  <c r="AI28" i="10"/>
  <c r="AJ28" i="10"/>
  <c r="AK28" i="10"/>
  <c r="AL28" i="10"/>
  <c r="AG30" i="10"/>
  <c r="AI30" i="10"/>
  <c r="AJ30" i="10"/>
  <c r="AK30" i="10"/>
  <c r="AL30" i="10"/>
  <c r="AJ31" i="10"/>
  <c r="AK31" i="10"/>
  <c r="AL31" i="10"/>
  <c r="AD32" i="10"/>
  <c r="AJ32" i="10"/>
  <c r="AK32" i="10"/>
  <c r="AL32" i="10"/>
  <c r="AC13" i="10"/>
  <c r="AC23" i="10"/>
  <c r="AC24" i="10"/>
  <c r="AC26" i="10"/>
  <c r="AC27" i="10"/>
  <c r="AC28" i="10"/>
  <c r="AC30" i="10"/>
  <c r="AC31" i="10"/>
  <c r="AC32" i="10"/>
  <c r="BW16" i="8"/>
  <c r="BW20" i="8" s="1"/>
  <c r="BW22" i="8" s="1"/>
  <c r="BW12" i="8"/>
  <c r="AA25" i="2"/>
  <c r="AA27" i="2"/>
  <c r="W27" i="2"/>
  <c r="W25" i="2"/>
  <c r="C13" i="2"/>
  <c r="C22" i="2"/>
  <c r="D13" i="2"/>
  <c r="D22" i="2"/>
  <c r="F23" i="2"/>
  <c r="G23" i="2"/>
  <c r="H23" i="2"/>
  <c r="I23" i="2"/>
  <c r="J23" i="2"/>
  <c r="K23" i="2"/>
  <c r="L23" i="2"/>
  <c r="M23" i="2"/>
  <c r="N23" i="2"/>
  <c r="O23" i="2"/>
  <c r="P23" i="2"/>
  <c r="Q23" i="2"/>
  <c r="Q24" i="2" s="1"/>
  <c r="R23" i="2"/>
  <c r="S23" i="2"/>
  <c r="T23" i="2"/>
  <c r="U23" i="2"/>
  <c r="V23" i="2"/>
  <c r="W23" i="2"/>
  <c r="L24" i="2"/>
  <c r="M24" i="2"/>
  <c r="P24" i="2"/>
  <c r="T24" i="2"/>
  <c r="U24" i="2"/>
  <c r="X24" i="2"/>
  <c r="Z24" i="2"/>
  <c r="AA24" i="2"/>
  <c r="F25" i="2"/>
  <c r="F26" i="2" s="1"/>
  <c r="G25" i="2"/>
  <c r="G26" i="2" s="1"/>
  <c r="H25" i="2"/>
  <c r="I25" i="2"/>
  <c r="J25" i="2"/>
  <c r="K25" i="2"/>
  <c r="L25" i="2"/>
  <c r="M25" i="2"/>
  <c r="N25" i="2"/>
  <c r="N26" i="2" s="1"/>
  <c r="O25" i="2"/>
  <c r="O26" i="2" s="1"/>
  <c r="P25" i="2"/>
  <c r="Q25" i="2"/>
  <c r="R25" i="2"/>
  <c r="S25" i="2"/>
  <c r="T25" i="2"/>
  <c r="U25" i="2"/>
  <c r="V25" i="2"/>
  <c r="V26" i="2" s="1"/>
  <c r="X25" i="2"/>
  <c r="X26" i="2" s="1"/>
  <c r="Y25" i="2"/>
  <c r="Z25" i="2"/>
  <c r="H26" i="2"/>
  <c r="I26" i="2"/>
  <c r="J26" i="2"/>
  <c r="K26" i="2"/>
  <c r="L26" i="2"/>
  <c r="M26" i="2"/>
  <c r="P26" i="2"/>
  <c r="Q26" i="2"/>
  <c r="R26" i="2"/>
  <c r="S26" i="2"/>
  <c r="T26" i="2"/>
  <c r="U26" i="2"/>
  <c r="W26" i="2"/>
  <c r="Z26" i="2"/>
  <c r="AA26" i="2"/>
  <c r="F27" i="2"/>
  <c r="G27" i="2"/>
  <c r="H27" i="2"/>
  <c r="I27" i="2"/>
  <c r="J27" i="2"/>
  <c r="K27" i="2"/>
  <c r="L27" i="2"/>
  <c r="M27" i="2"/>
  <c r="N27" i="2"/>
  <c r="O27" i="2"/>
  <c r="P27" i="2"/>
  <c r="Q27" i="2"/>
  <c r="R27" i="2"/>
  <c r="S27" i="2"/>
  <c r="T27" i="2"/>
  <c r="U27" i="2"/>
  <c r="V27" i="2"/>
  <c r="X27" i="2"/>
  <c r="Y27" i="2"/>
  <c r="Z27" i="2"/>
  <c r="F28" i="2"/>
  <c r="G28" i="2"/>
  <c r="H28" i="2"/>
  <c r="H29" i="2" s="1"/>
  <c r="I28" i="2"/>
  <c r="I29" i="2" s="1"/>
  <c r="J28" i="2"/>
  <c r="K28" i="2"/>
  <c r="L28" i="2"/>
  <c r="M28" i="2"/>
  <c r="N28" i="2"/>
  <c r="O28" i="2"/>
  <c r="P28" i="2"/>
  <c r="P29" i="2" s="1"/>
  <c r="Q28" i="2"/>
  <c r="Q29" i="2" s="1"/>
  <c r="R28" i="2"/>
  <c r="S28" i="2"/>
  <c r="T28" i="2"/>
  <c r="U28" i="2"/>
  <c r="V28" i="2"/>
  <c r="W28" i="2"/>
  <c r="F29" i="2"/>
  <c r="G29" i="2"/>
  <c r="L29" i="2"/>
  <c r="M29" i="2"/>
  <c r="N29" i="2"/>
  <c r="O29" i="2"/>
  <c r="T29" i="2"/>
  <c r="U29" i="2"/>
  <c r="V29" i="2"/>
  <c r="W29" i="2"/>
  <c r="X29" i="2"/>
  <c r="F53" i="12"/>
  <c r="S53" i="12" s="1"/>
  <c r="D3" i="6"/>
  <c r="E3" i="6" s="1"/>
  <c r="BV16" i="8"/>
  <c r="BV20" i="8" s="1"/>
  <c r="BV22" i="8" s="1"/>
  <c r="BV12" i="8"/>
  <c r="C28" i="6"/>
  <c r="D28" i="6"/>
  <c r="E28" i="6" s="1"/>
  <c r="C15" i="6"/>
  <c r="D15" i="6" s="1"/>
  <c r="AB7" i="6"/>
  <c r="AB6" i="6"/>
  <c r="AB4" i="6"/>
  <c r="AB16" i="6"/>
  <c r="AB17" i="6"/>
  <c r="AA6" i="2"/>
  <c r="AA8" i="2"/>
  <c r="AA11" i="2"/>
  <c r="AB13" i="10"/>
  <c r="AB23" i="10"/>
  <c r="AB30" i="10" s="1"/>
  <c r="AB24" i="10"/>
  <c r="AB26" i="10"/>
  <c r="AB27" i="10"/>
  <c r="AB28" i="10"/>
  <c r="AB31" i="10"/>
  <c r="AB32" i="10"/>
  <c r="BW11" i="7"/>
  <c r="BX11" i="7"/>
  <c r="BT16" i="8"/>
  <c r="BU16" i="8"/>
  <c r="BU20" i="8" s="1"/>
  <c r="BU22" i="8" s="1"/>
  <c r="BT20" i="8"/>
  <c r="BT22" i="8" s="1"/>
  <c r="BT12" i="8"/>
  <c r="BU12" i="8"/>
  <c r="L100" i="1"/>
  <c r="AA4" i="6"/>
  <c r="AA9" i="6" s="1"/>
  <c r="AA16" i="6"/>
  <c r="AA17" i="6"/>
  <c r="Z6" i="2"/>
  <c r="AA23" i="10"/>
  <c r="AA24" i="10"/>
  <c r="AA26" i="10"/>
  <c r="AA27" i="10"/>
  <c r="AA28" i="10"/>
  <c r="AA30" i="10"/>
  <c r="AA32" i="10"/>
  <c r="AA13" i="10"/>
  <c r="BQ12" i="8"/>
  <c r="BR12" i="8"/>
  <c r="BS12" i="8"/>
  <c r="BQ16" i="8"/>
  <c r="BQ20" i="8" s="1"/>
  <c r="BQ22" i="8" s="1"/>
  <c r="BR16" i="8"/>
  <c r="BR20" i="8" s="1"/>
  <c r="BR22" i="8" s="1"/>
  <c r="BS16" i="8"/>
  <c r="BS20" i="8" s="1"/>
  <c r="BS22" i="8" s="1"/>
  <c r="Z8" i="2"/>
  <c r="AA31" i="10"/>
  <c r="Z6" i="6"/>
  <c r="Z90" i="6"/>
  <c r="Z93" i="6" s="1"/>
  <c r="Z92" i="6"/>
  <c r="Z4" i="6"/>
  <c r="Z16" i="6"/>
  <c r="Z17" i="6"/>
  <c r="Y6" i="2"/>
  <c r="Y8" i="2"/>
  <c r="Y11" i="2"/>
  <c r="Z23" i="10"/>
  <c r="Z31" i="10" s="1"/>
  <c r="Z26" i="10"/>
  <c r="Z27" i="10"/>
  <c r="Z28" i="10"/>
  <c r="Z30" i="10"/>
  <c r="Z13" i="10"/>
  <c r="BN16" i="8"/>
  <c r="BN20" i="8"/>
  <c r="BN22" i="8"/>
  <c r="BO16" i="8"/>
  <c r="BO20" i="8" s="1"/>
  <c r="BO22" i="8" s="1"/>
  <c r="BP16" i="8"/>
  <c r="BP20" i="8"/>
  <c r="BP22" i="8" s="1"/>
  <c r="BN12" i="8"/>
  <c r="BO12" i="8"/>
  <c r="BP12" i="8"/>
  <c r="Z32" i="10"/>
  <c r="BL16" i="8"/>
  <c r="BL20" i="8" s="1"/>
  <c r="BL22" i="8" s="1"/>
  <c r="BM16" i="8"/>
  <c r="BM20" i="8" s="1"/>
  <c r="BM22" i="8" s="1"/>
  <c r="BK16" i="8"/>
  <c r="BK20" i="8" s="1"/>
  <c r="BK22" i="8" s="1"/>
  <c r="BM12" i="8"/>
  <c r="BL12" i="8"/>
  <c r="BK12" i="8"/>
  <c r="BI16" i="8"/>
  <c r="BI20" i="8"/>
  <c r="BI22" i="8" s="1"/>
  <c r="BJ16" i="8"/>
  <c r="BJ20" i="8" s="1"/>
  <c r="BJ22" i="8" s="1"/>
  <c r="BH16" i="8"/>
  <c r="BI12" i="8"/>
  <c r="BJ12" i="8"/>
  <c r="Y90" i="6"/>
  <c r="Y93" i="6" s="1"/>
  <c r="Y92" i="6"/>
  <c r="Y16" i="6"/>
  <c r="Y17" i="6"/>
  <c r="Y21" i="6" s="1"/>
  <c r="Y7" i="6"/>
  <c r="Y4" i="6"/>
  <c r="Y9" i="6" s="1"/>
  <c r="X6" i="2"/>
  <c r="X8" i="2"/>
  <c r="X11" i="2"/>
  <c r="Y28" i="10"/>
  <c r="Y27" i="10"/>
  <c r="Y26" i="10"/>
  <c r="Y23" i="10"/>
  <c r="Y32" i="10"/>
  <c r="Y13" i="10"/>
  <c r="Y24" i="10"/>
  <c r="Y30" i="10"/>
  <c r="Y31" i="10"/>
  <c r="X92" i="6"/>
  <c r="X90" i="6"/>
  <c r="X93" i="6" s="1"/>
  <c r="X16" i="6"/>
  <c r="X17" i="6"/>
  <c r="X4" i="6"/>
  <c r="BK11" i="7"/>
  <c r="BL11" i="7"/>
  <c r="BM11" i="7"/>
  <c r="BN11" i="7"/>
  <c r="BO11" i="7"/>
  <c r="BP11" i="7"/>
  <c r="BQ11" i="7"/>
  <c r="BR11" i="7"/>
  <c r="BT11" i="7"/>
  <c r="BU11" i="7"/>
  <c r="W11" i="2"/>
  <c r="W8" i="2"/>
  <c r="W6" i="2"/>
  <c r="X28" i="10"/>
  <c r="X27" i="10"/>
  <c r="X26" i="10"/>
  <c r="X23" i="10"/>
  <c r="X32" i="10" s="1"/>
  <c r="X13" i="10"/>
  <c r="X31" i="10"/>
  <c r="X24" i="10"/>
  <c r="X30" i="10"/>
  <c r="BH20" i="8"/>
  <c r="BH22" i="8" s="1"/>
  <c r="BG16" i="8"/>
  <c r="BG20" i="8" s="1"/>
  <c r="BG22" i="8" s="1"/>
  <c r="BH12" i="8"/>
  <c r="BG12" i="8"/>
  <c r="BJ11" i="7"/>
  <c r="BI11" i="7"/>
  <c r="BH11" i="7"/>
  <c r="W92" i="6"/>
  <c r="W90" i="6"/>
  <c r="W93" i="6" s="1"/>
  <c r="W17" i="6"/>
  <c r="W16" i="6"/>
  <c r="W4" i="6"/>
  <c r="W9" i="6" s="1"/>
  <c r="V11" i="2"/>
  <c r="V8" i="2"/>
  <c r="V6" i="2"/>
  <c r="W28" i="10"/>
  <c r="W27" i="10"/>
  <c r="W26" i="10"/>
  <c r="W23" i="10"/>
  <c r="W24" i="10" s="1"/>
  <c r="W32" i="10"/>
  <c r="W13" i="10"/>
  <c r="W31" i="10"/>
  <c r="BF16" i="8"/>
  <c r="BF20" i="8" s="1"/>
  <c r="BF22" i="8" s="1"/>
  <c r="BF12" i="8"/>
  <c r="BE16" i="8"/>
  <c r="BE20" i="8" s="1"/>
  <c r="BE22" i="8" s="1"/>
  <c r="BE12" i="8"/>
  <c r="BD16" i="8"/>
  <c r="BD20" i="8"/>
  <c r="BD22" i="8" s="1"/>
  <c r="BD12" i="8"/>
  <c r="BC16" i="8"/>
  <c r="BC20" i="8" s="1"/>
  <c r="BC22" i="8" s="1"/>
  <c r="BC12" i="8"/>
  <c r="BB16" i="8"/>
  <c r="BB20" i="8" s="1"/>
  <c r="BB22" i="8" s="1"/>
  <c r="BB12" i="8"/>
  <c r="BA16" i="8"/>
  <c r="BA20" i="8"/>
  <c r="BA22" i="8" s="1"/>
  <c r="BA12" i="8"/>
  <c r="V92" i="6"/>
  <c r="V90" i="6"/>
  <c r="V93" i="6" s="1"/>
  <c r="V17" i="6"/>
  <c r="V16" i="6"/>
  <c r="V7" i="6"/>
  <c r="V4" i="6"/>
  <c r="U11" i="2"/>
  <c r="U8" i="2"/>
  <c r="U6" i="2"/>
  <c r="V28" i="10"/>
  <c r="V27" i="10"/>
  <c r="V26" i="10"/>
  <c r="V23" i="10"/>
  <c r="V32" i="10" s="1"/>
  <c r="V13" i="10"/>
  <c r="AZ16" i="8"/>
  <c r="AZ20" i="8"/>
  <c r="AZ22" i="8" s="1"/>
  <c r="AZ12" i="8"/>
  <c r="BG11" i="7"/>
  <c r="BF11" i="7"/>
  <c r="BE11" i="7"/>
  <c r="BD11" i="7"/>
  <c r="BC11" i="7"/>
  <c r="BB11" i="7"/>
  <c r="U7" i="6"/>
  <c r="U92" i="6"/>
  <c r="U90" i="6"/>
  <c r="U93" i="6" s="1"/>
  <c r="U17" i="6"/>
  <c r="U16" i="6"/>
  <c r="U4" i="6"/>
  <c r="T11" i="2"/>
  <c r="T8" i="2"/>
  <c r="T6" i="2"/>
  <c r="U13" i="10"/>
  <c r="T13" i="10"/>
  <c r="S13" i="10"/>
  <c r="R13" i="10"/>
  <c r="U28" i="10"/>
  <c r="U27" i="10"/>
  <c r="U26" i="10"/>
  <c r="U23" i="10"/>
  <c r="U30" i="10" s="1"/>
  <c r="U32" i="10"/>
  <c r="T28" i="10"/>
  <c r="T27" i="10"/>
  <c r="T26" i="10"/>
  <c r="T23" i="10"/>
  <c r="T32" i="10" s="1"/>
  <c r="V24" i="10"/>
  <c r="V31" i="10"/>
  <c r="T24" i="10"/>
  <c r="T30" i="10"/>
  <c r="T31" i="10"/>
  <c r="AY16" i="8"/>
  <c r="AY20" i="8" s="1"/>
  <c r="AY22" i="8" s="1"/>
  <c r="AY12" i="8"/>
  <c r="AX16" i="8"/>
  <c r="AX20" i="8"/>
  <c r="AX22" i="8" s="1"/>
  <c r="AX12" i="8"/>
  <c r="AW16" i="8"/>
  <c r="AW20" i="8" s="1"/>
  <c r="AW22" i="8" s="1"/>
  <c r="AW12" i="8"/>
  <c r="AV16" i="8"/>
  <c r="AV20" i="8"/>
  <c r="AV22" i="8" s="1"/>
  <c r="AV12" i="8"/>
  <c r="AU16" i="8"/>
  <c r="AU20" i="8" s="1"/>
  <c r="AU22" i="8" s="1"/>
  <c r="AU12" i="8"/>
  <c r="AY11" i="7"/>
  <c r="AZ11" i="7"/>
  <c r="BA11" i="7"/>
  <c r="AW11" i="7"/>
  <c r="AX11" i="7"/>
  <c r="T92" i="6"/>
  <c r="T90" i="6"/>
  <c r="T93" i="6" s="1"/>
  <c r="T16" i="6"/>
  <c r="T17" i="6"/>
  <c r="T4" i="6"/>
  <c r="T9" i="6" s="1"/>
  <c r="T13" i="6" s="1"/>
  <c r="S6" i="2"/>
  <c r="S8" i="2"/>
  <c r="S11" i="2"/>
  <c r="T94" i="6"/>
  <c r="AT16" i="8"/>
  <c r="AT20" i="8" s="1"/>
  <c r="AT22" i="8" s="1"/>
  <c r="AT12" i="8"/>
  <c r="S92" i="6"/>
  <c r="S90" i="6"/>
  <c r="S93" i="6" s="1"/>
  <c r="S17" i="6"/>
  <c r="S16" i="6"/>
  <c r="S4" i="6"/>
  <c r="S9" i="6" s="1"/>
  <c r="AS16" i="8"/>
  <c r="AS20" i="8"/>
  <c r="AS22" i="8" s="1"/>
  <c r="AS12" i="8"/>
  <c r="S28" i="10"/>
  <c r="S27" i="10"/>
  <c r="S26" i="10"/>
  <c r="S23" i="10"/>
  <c r="S32" i="10" s="1"/>
  <c r="R11" i="2"/>
  <c r="R8" i="2"/>
  <c r="R6" i="2"/>
  <c r="AV11" i="7"/>
  <c r="AR16" i="8"/>
  <c r="AR20" i="8" s="1"/>
  <c r="AR22" i="8" s="1"/>
  <c r="AR12" i="8"/>
  <c r="S30" i="10"/>
  <c r="S31" i="10"/>
  <c r="AQ16" i="8"/>
  <c r="AQ20" i="8" s="1"/>
  <c r="AQ22" i="8" s="1"/>
  <c r="AQ12" i="8"/>
  <c r="AP16" i="8"/>
  <c r="AP20" i="8" s="1"/>
  <c r="AP22" i="8" s="1"/>
  <c r="AP12" i="8"/>
  <c r="AO12" i="8"/>
  <c r="AO16" i="8"/>
  <c r="AO20" i="8" s="1"/>
  <c r="AO22" i="8" s="1"/>
  <c r="AU11" i="7"/>
  <c r="AT11" i="7"/>
  <c r="AS11" i="7"/>
  <c r="R92" i="6"/>
  <c r="R90" i="6"/>
  <c r="R93" i="6" s="1"/>
  <c r="R17" i="6"/>
  <c r="R16" i="6"/>
  <c r="R4" i="6"/>
  <c r="R9" i="6" s="1"/>
  <c r="Q11" i="2"/>
  <c r="Q8" i="2"/>
  <c r="Q6" i="2"/>
  <c r="R28" i="10"/>
  <c r="R27" i="10"/>
  <c r="R26" i="10"/>
  <c r="R23" i="10"/>
  <c r="AN16" i="8"/>
  <c r="AN20" i="8" s="1"/>
  <c r="AN22" i="8" s="1"/>
  <c r="AN12" i="8"/>
  <c r="AM16" i="8"/>
  <c r="AM20" i="8" s="1"/>
  <c r="AM22" i="8" s="1"/>
  <c r="AM12" i="8"/>
  <c r="Q7" i="6"/>
  <c r="AR11" i="7"/>
  <c r="AQ11" i="7"/>
  <c r="AP11" i="7"/>
  <c r="Q92" i="6"/>
  <c r="Q90" i="6"/>
  <c r="Q93" i="6" s="1"/>
  <c r="Q4" i="6"/>
  <c r="Q16" i="6"/>
  <c r="Q17" i="6"/>
  <c r="P11" i="2"/>
  <c r="P8" i="2"/>
  <c r="P6" i="2"/>
  <c r="Q23" i="10"/>
  <c r="Q26" i="10"/>
  <c r="Q27" i="10"/>
  <c r="Q28" i="10"/>
  <c r="Q13" i="10"/>
  <c r="AL16" i="8"/>
  <c r="AL20" i="8" s="1"/>
  <c r="AL22" i="8" s="1"/>
  <c r="AL12" i="8"/>
  <c r="AK16" i="8"/>
  <c r="AK20" i="8"/>
  <c r="AK22" i="8" s="1"/>
  <c r="AK12" i="8"/>
  <c r="AJ16" i="8"/>
  <c r="AJ20" i="8"/>
  <c r="AJ22" i="8" s="1"/>
  <c r="AJ12" i="8"/>
  <c r="AI16" i="8"/>
  <c r="AI20" i="8" s="1"/>
  <c r="AI22" i="8" s="1"/>
  <c r="AI12" i="8"/>
  <c r="AO11" i="7"/>
  <c r="AN11" i="7"/>
  <c r="AM11" i="7"/>
  <c r="P7" i="6"/>
  <c r="P92" i="6"/>
  <c r="P90" i="6"/>
  <c r="P93" i="6" s="1"/>
  <c r="P17" i="6"/>
  <c r="P16" i="6"/>
  <c r="P4" i="6"/>
  <c r="P9" i="6" s="1"/>
  <c r="P13" i="6" s="1"/>
  <c r="O11" i="2"/>
  <c r="O8" i="2"/>
  <c r="O6" i="2"/>
  <c r="P28" i="10"/>
  <c r="P27" i="10"/>
  <c r="P26" i="10"/>
  <c r="P23" i="10"/>
  <c r="P13" i="10"/>
  <c r="AH16" i="8"/>
  <c r="AH20" i="8" s="1"/>
  <c r="AH22" i="8" s="1"/>
  <c r="AH12" i="8"/>
  <c r="O28" i="10"/>
  <c r="O27" i="10"/>
  <c r="O26" i="10"/>
  <c r="O23" i="10"/>
  <c r="O24" i="10" s="1"/>
  <c r="O32" i="10"/>
  <c r="O92" i="6"/>
  <c r="O90" i="6"/>
  <c r="O93" i="6" s="1"/>
  <c r="O17" i="6"/>
  <c r="O16" i="6"/>
  <c r="O4" i="6"/>
  <c r="O9" i="6" s="1"/>
  <c r="N11" i="2"/>
  <c r="N8" i="2"/>
  <c r="N6" i="2"/>
  <c r="O13" i="10"/>
  <c r="O31" i="10"/>
  <c r="AL11" i="7"/>
  <c r="AK11" i="7"/>
  <c r="AJ11" i="7"/>
  <c r="AG16" i="8"/>
  <c r="AG20" i="8" s="1"/>
  <c r="AG22" i="8" s="1"/>
  <c r="AG12" i="8"/>
  <c r="AF16" i="8"/>
  <c r="AF20" i="8" s="1"/>
  <c r="AF22" i="8" s="1"/>
  <c r="AF12" i="8"/>
  <c r="AE16" i="8"/>
  <c r="AE20" i="8"/>
  <c r="AE22" i="8" s="1"/>
  <c r="AE12" i="8"/>
  <c r="AD16" i="8"/>
  <c r="AD20" i="8" s="1"/>
  <c r="AD22" i="8" s="1"/>
  <c r="AD12" i="8"/>
  <c r="AC16" i="8"/>
  <c r="AC20" i="8" s="1"/>
  <c r="AC22" i="8" s="1"/>
  <c r="AC12" i="8"/>
  <c r="N92" i="6"/>
  <c r="N90" i="6"/>
  <c r="N93" i="6" s="1"/>
  <c r="N17" i="6"/>
  <c r="N16" i="6"/>
  <c r="N4" i="6"/>
  <c r="N9" i="6" s="1"/>
  <c r="N13" i="6" s="1"/>
  <c r="M11" i="2"/>
  <c r="M8" i="2"/>
  <c r="M6" i="2"/>
  <c r="N28" i="10"/>
  <c r="N27" i="10"/>
  <c r="N26" i="10"/>
  <c r="N23" i="10"/>
  <c r="N32" i="10" s="1"/>
  <c r="N13" i="10"/>
  <c r="AI11" i="7"/>
  <c r="AH11" i="7"/>
  <c r="AG11" i="7"/>
  <c r="N30" i="10"/>
  <c r="AB16" i="8"/>
  <c r="AB20" i="8"/>
  <c r="AB22" i="8" s="1"/>
  <c r="AB12" i="8"/>
  <c r="AA16" i="8"/>
  <c r="AA20" i="8"/>
  <c r="AA22" i="8" s="1"/>
  <c r="AA12" i="8"/>
  <c r="M92" i="6"/>
  <c r="Z16" i="8"/>
  <c r="Z20" i="8"/>
  <c r="Z22" i="8" s="1"/>
  <c r="Z12" i="8"/>
  <c r="M90" i="6"/>
  <c r="M93" i="6" s="1"/>
  <c r="M17" i="6"/>
  <c r="M16" i="6"/>
  <c r="M4" i="6"/>
  <c r="M9" i="6" s="1"/>
  <c r="L11" i="2"/>
  <c r="L8" i="2"/>
  <c r="L6" i="2"/>
  <c r="M28" i="10"/>
  <c r="M27" i="10"/>
  <c r="M26" i="10"/>
  <c r="M23" i="10"/>
  <c r="M32" i="10" s="1"/>
  <c r="M13" i="10"/>
  <c r="AF11" i="7"/>
  <c r="M24" i="10"/>
  <c r="M31" i="10"/>
  <c r="Y16" i="8"/>
  <c r="Y20" i="8" s="1"/>
  <c r="Y22" i="8" s="1"/>
  <c r="X16" i="8"/>
  <c r="X20" i="8" s="1"/>
  <c r="X22" i="8" s="1"/>
  <c r="Y12" i="8"/>
  <c r="X12" i="8"/>
  <c r="N11" i="7"/>
  <c r="T31" i="11"/>
  <c r="T3" i="11" s="1"/>
  <c r="N45" i="11"/>
  <c r="M45" i="11" s="1"/>
  <c r="AE11" i="7"/>
  <c r="AD11" i="7"/>
  <c r="W16" i="8"/>
  <c r="W20" i="8" s="1"/>
  <c r="W22" i="8" s="1"/>
  <c r="V16" i="8"/>
  <c r="V20" i="8"/>
  <c r="V22" i="8" s="1"/>
  <c r="V12" i="8"/>
  <c r="W12" i="8"/>
  <c r="L92" i="6"/>
  <c r="L90" i="6"/>
  <c r="L93" i="6" s="1"/>
  <c r="L17" i="6"/>
  <c r="L16" i="6"/>
  <c r="L4" i="6"/>
  <c r="L9" i="6" s="1"/>
  <c r="AC11" i="7"/>
  <c r="K11" i="2"/>
  <c r="L28" i="10"/>
  <c r="L27" i="10"/>
  <c r="L26" i="10"/>
  <c r="L23" i="10"/>
  <c r="L32" i="10" s="1"/>
  <c r="L30" i="10"/>
  <c r="K8" i="2"/>
  <c r="K6" i="2"/>
  <c r="L13" i="10"/>
  <c r="L24" i="10"/>
  <c r="K92" i="6"/>
  <c r="K90" i="6"/>
  <c r="K93" i="6" s="1"/>
  <c r="K5" i="10"/>
  <c r="J92" i="6"/>
  <c r="J90" i="6"/>
  <c r="J93" i="6" s="1"/>
  <c r="J5" i="10"/>
  <c r="I92" i="6"/>
  <c r="I90" i="6"/>
  <c r="I93" i="6" s="1"/>
  <c r="H92" i="6"/>
  <c r="H90" i="6"/>
  <c r="H93" i="6" s="1"/>
  <c r="G92" i="6"/>
  <c r="G90" i="6"/>
  <c r="G93" i="6" s="1"/>
  <c r="F92" i="6"/>
  <c r="F90" i="6"/>
  <c r="F93" i="6" s="1"/>
  <c r="E92" i="6"/>
  <c r="E90" i="6"/>
  <c r="E93" i="6" s="1"/>
  <c r="D92" i="6"/>
  <c r="D90" i="6"/>
  <c r="D94" i="6" s="1"/>
  <c r="I20" i="4"/>
  <c r="AC61" i="7"/>
  <c r="AB61" i="7"/>
  <c r="AA61" i="7"/>
  <c r="Z61" i="7"/>
  <c r="Y61" i="7"/>
  <c r="X61" i="7"/>
  <c r="W61" i="7"/>
  <c r="V61" i="7"/>
  <c r="U61" i="7"/>
  <c r="T61" i="7"/>
  <c r="S61" i="7"/>
  <c r="R61" i="7"/>
  <c r="Q61" i="7"/>
  <c r="P61" i="7"/>
  <c r="O61" i="7"/>
  <c r="N61" i="7"/>
  <c r="M61" i="7"/>
  <c r="L61" i="7"/>
  <c r="K61" i="7"/>
  <c r="J61" i="7"/>
  <c r="I61" i="7"/>
  <c r="H61" i="7"/>
  <c r="G61" i="7"/>
  <c r="F61" i="7"/>
  <c r="E61" i="7"/>
  <c r="D61" i="7"/>
  <c r="C61" i="7"/>
  <c r="B70" i="1"/>
  <c r="F34" i="8"/>
  <c r="B67" i="1"/>
  <c r="H67" i="1" s="1"/>
  <c r="B66" i="1"/>
  <c r="D66" i="1" s="1"/>
  <c r="B65" i="1"/>
  <c r="H65" i="1" s="1"/>
  <c r="B64" i="1"/>
  <c r="D64" i="1" s="1"/>
  <c r="B63" i="1"/>
  <c r="D63" i="1" s="1"/>
  <c r="B62" i="1"/>
  <c r="D62" i="1" s="1"/>
  <c r="C59" i="7"/>
  <c r="D59" i="7"/>
  <c r="D58" i="7" s="1"/>
  <c r="C52" i="7"/>
  <c r="C51" i="7"/>
  <c r="C45" i="7"/>
  <c r="D45" i="7" s="1"/>
  <c r="C36" i="7"/>
  <c r="D36" i="7"/>
  <c r="E36" i="7"/>
  <c r="C30" i="7"/>
  <c r="D30" i="7" s="1"/>
  <c r="E30" i="7" s="1"/>
  <c r="F30" i="7" s="1"/>
  <c r="G30" i="7" s="1"/>
  <c r="H30" i="7" s="1"/>
  <c r="I30" i="7" s="1"/>
  <c r="J30" i="7" s="1"/>
  <c r="K30" i="7" s="1"/>
  <c r="L30" i="7" s="1"/>
  <c r="M30" i="7" s="1"/>
  <c r="C19" i="7"/>
  <c r="C8" i="7"/>
  <c r="H103" i="1"/>
  <c r="H102" i="1"/>
  <c r="H101" i="1"/>
  <c r="L101" i="1" s="1"/>
  <c r="O18" i="1"/>
  <c r="P11" i="12"/>
  <c r="O11" i="12" s="1"/>
  <c r="N11" i="12" s="1"/>
  <c r="M11" i="12" s="1"/>
  <c r="O48" i="7"/>
  <c r="O49" i="7" s="1"/>
  <c r="P48" i="7"/>
  <c r="Q48" i="7"/>
  <c r="R48" i="7"/>
  <c r="S48" i="7"/>
  <c r="S6" i="7"/>
  <c r="T6" i="7"/>
  <c r="U6" i="7"/>
  <c r="V6" i="7"/>
  <c r="W6" i="7"/>
  <c r="F72" i="8"/>
  <c r="G72" i="8" s="1"/>
  <c r="F62" i="8"/>
  <c r="G62" i="8" s="1"/>
  <c r="H62" i="8" s="1"/>
  <c r="I62" i="8" s="1"/>
  <c r="J62" i="8" s="1"/>
  <c r="K62" i="8" s="1"/>
  <c r="L62" i="8" s="1"/>
  <c r="M62" i="8" s="1"/>
  <c r="N62" i="8" s="1"/>
  <c r="O62" i="8" s="1"/>
  <c r="P62" i="8" s="1"/>
  <c r="Q62" i="8" s="1"/>
  <c r="R62" i="8" s="1"/>
  <c r="S62" i="8" s="1"/>
  <c r="T62" i="8" s="1"/>
  <c r="U62" i="8" s="1"/>
  <c r="V62" i="8" s="1"/>
  <c r="W62" i="8" s="1"/>
  <c r="X62" i="8" s="1"/>
  <c r="Y62" i="8" s="1"/>
  <c r="Z62" i="8" s="1"/>
  <c r="AA62" i="8" s="1"/>
  <c r="AB62" i="8" s="1"/>
  <c r="AC62" i="8" s="1"/>
  <c r="AD62" i="8" s="1"/>
  <c r="AE62" i="8" s="1"/>
  <c r="AF62" i="8" s="1"/>
  <c r="AG62" i="8" s="1"/>
  <c r="AH62" i="8" s="1"/>
  <c r="AI62" i="8" s="1"/>
  <c r="AJ62" i="8" s="1"/>
  <c r="AK62" i="8" s="1"/>
  <c r="AL62" i="8" s="1"/>
  <c r="AM62" i="8" s="1"/>
  <c r="AN62" i="8" s="1"/>
  <c r="AO62" i="8" s="1"/>
  <c r="AP62" i="8" s="1"/>
  <c r="AQ62" i="8" s="1"/>
  <c r="AR62" i="8" s="1"/>
  <c r="AS62" i="8" s="1"/>
  <c r="AT62" i="8" s="1"/>
  <c r="AU62" i="8" s="1"/>
  <c r="AV62" i="8" s="1"/>
  <c r="AW62" i="8" s="1"/>
  <c r="AX62" i="8" s="1"/>
  <c r="AY62" i="8" s="1"/>
  <c r="AZ62" i="8" s="1"/>
  <c r="BA62" i="8" s="1"/>
  <c r="BB62" i="8" s="1"/>
  <c r="BC62" i="8" s="1"/>
  <c r="BD62" i="8" s="1"/>
  <c r="BE62" i="8" s="1"/>
  <c r="BF62" i="8" s="1"/>
  <c r="BG62" i="8" s="1"/>
  <c r="BH62" i="8" s="1"/>
  <c r="BI62" i="8" s="1"/>
  <c r="BJ62" i="8" s="1"/>
  <c r="BK62" i="8" s="1"/>
  <c r="BL62" i="8" s="1"/>
  <c r="BM62" i="8" s="1"/>
  <c r="BN62" i="8" s="1"/>
  <c r="BO62" i="8" s="1"/>
  <c r="BP62" i="8" s="1"/>
  <c r="BQ62" i="8" s="1"/>
  <c r="BR62" i="8" s="1"/>
  <c r="BS62" i="8" s="1"/>
  <c r="BT62" i="8" s="1"/>
  <c r="BU62" i="8" s="1"/>
  <c r="BV62" i="8" s="1"/>
  <c r="BW62" i="8" s="1"/>
  <c r="BX62" i="8" s="1"/>
  <c r="BY62" i="8" s="1"/>
  <c r="BZ62" i="8" s="1"/>
  <c r="CA62" i="8" s="1"/>
  <c r="CB62" i="8" s="1"/>
  <c r="CC62" i="8" s="1"/>
  <c r="CD62" i="8" s="1"/>
  <c r="CE62" i="8" s="1"/>
  <c r="CF62" i="8" s="1"/>
  <c r="CG62" i="8" s="1"/>
  <c r="CH62" i="8" s="1"/>
  <c r="CI62" i="8" s="1"/>
  <c r="CJ62" i="8" s="1"/>
  <c r="CK62" i="8" s="1"/>
  <c r="CL62" i="8" s="1"/>
  <c r="CM62" i="8" s="1"/>
  <c r="CN62" i="8" s="1"/>
  <c r="CO62" i="8" s="1"/>
  <c r="CP62" i="8" s="1"/>
  <c r="CQ62" i="8" s="1"/>
  <c r="CR62" i="8" s="1"/>
  <c r="CS62" i="8" s="1"/>
  <c r="CT62" i="8" s="1"/>
  <c r="CU62" i="8" s="1"/>
  <c r="CV62" i="8" s="1"/>
  <c r="CW62" i="8" s="1"/>
  <c r="CX62" i="8" s="1"/>
  <c r="CY62" i="8" s="1"/>
  <c r="CZ62" i="8" s="1"/>
  <c r="DA62" i="8" s="1"/>
  <c r="DB62" i="8" s="1"/>
  <c r="DC62" i="8" s="1"/>
  <c r="DD62" i="8" s="1"/>
  <c r="DE62" i="8" s="1"/>
  <c r="DF62" i="8" s="1"/>
  <c r="DG62" i="8" s="1"/>
  <c r="DH62" i="8" s="1"/>
  <c r="DI62" i="8" s="1"/>
  <c r="DJ62" i="8" s="1"/>
  <c r="DK62" i="8" s="1"/>
  <c r="DL62" i="8" s="1"/>
  <c r="DM62" i="8" s="1"/>
  <c r="F52" i="8"/>
  <c r="G52" i="8" s="1"/>
  <c r="H52" i="8" s="1"/>
  <c r="I52" i="8" s="1"/>
  <c r="J52" i="8" s="1"/>
  <c r="K52" i="8" s="1"/>
  <c r="L52" i="8" s="1"/>
  <c r="M52" i="8" s="1"/>
  <c r="N52" i="8" s="1"/>
  <c r="O52" i="8" s="1"/>
  <c r="P52" i="8" s="1"/>
  <c r="Q52" i="8" s="1"/>
  <c r="R52" i="8" s="1"/>
  <c r="S52" i="8" s="1"/>
  <c r="T52" i="8" s="1"/>
  <c r="U52" i="8" s="1"/>
  <c r="V52" i="8" s="1"/>
  <c r="W52" i="8" s="1"/>
  <c r="X52" i="8" s="1"/>
  <c r="Y52" i="8" s="1"/>
  <c r="Z52" i="8" s="1"/>
  <c r="AA52" i="8" s="1"/>
  <c r="AB52" i="8" s="1"/>
  <c r="AC52" i="8" s="1"/>
  <c r="AD52" i="8" s="1"/>
  <c r="AE52" i="8" s="1"/>
  <c r="AF52" i="8" s="1"/>
  <c r="AG52" i="8" s="1"/>
  <c r="AH52" i="8" s="1"/>
  <c r="AI52" i="8" s="1"/>
  <c r="AJ52" i="8" s="1"/>
  <c r="AK52" i="8" s="1"/>
  <c r="AL52" i="8" s="1"/>
  <c r="AM52" i="8" s="1"/>
  <c r="AN52" i="8" s="1"/>
  <c r="AO52" i="8" s="1"/>
  <c r="AP52" i="8" s="1"/>
  <c r="AQ52" i="8" s="1"/>
  <c r="AR52" i="8" s="1"/>
  <c r="AS52" i="8" s="1"/>
  <c r="AT52" i="8" s="1"/>
  <c r="AU52" i="8" s="1"/>
  <c r="AV52" i="8" s="1"/>
  <c r="AW52" i="8" s="1"/>
  <c r="AX52" i="8" s="1"/>
  <c r="AY52" i="8" s="1"/>
  <c r="AZ52" i="8" s="1"/>
  <c r="BA52" i="8" s="1"/>
  <c r="BB52" i="8" s="1"/>
  <c r="BC52" i="8" s="1"/>
  <c r="BD52" i="8" s="1"/>
  <c r="BE52" i="8" s="1"/>
  <c r="BF52" i="8" s="1"/>
  <c r="BG52" i="8" s="1"/>
  <c r="BH52" i="8" s="1"/>
  <c r="BI52" i="8" s="1"/>
  <c r="BJ52" i="8" s="1"/>
  <c r="BK52" i="8" s="1"/>
  <c r="BL52" i="8" s="1"/>
  <c r="BM52" i="8" s="1"/>
  <c r="BN52" i="8" s="1"/>
  <c r="BO52" i="8" s="1"/>
  <c r="BP52" i="8" s="1"/>
  <c r="BQ52" i="8" s="1"/>
  <c r="BR52" i="8" s="1"/>
  <c r="BS52" i="8" s="1"/>
  <c r="BT52" i="8" s="1"/>
  <c r="BU52" i="8" s="1"/>
  <c r="BV52" i="8" s="1"/>
  <c r="BW52" i="8" s="1"/>
  <c r="BX52" i="8" s="1"/>
  <c r="BY52" i="8" s="1"/>
  <c r="BZ52" i="8" s="1"/>
  <c r="CA52" i="8" s="1"/>
  <c r="CB52" i="8" s="1"/>
  <c r="CC52" i="8" s="1"/>
  <c r="CD52" i="8" s="1"/>
  <c r="CE52" i="8" s="1"/>
  <c r="CF52" i="8" s="1"/>
  <c r="CG52" i="8" s="1"/>
  <c r="CH52" i="8" s="1"/>
  <c r="CI52" i="8" s="1"/>
  <c r="CJ52" i="8" s="1"/>
  <c r="CK52" i="8" s="1"/>
  <c r="CL52" i="8" s="1"/>
  <c r="CM52" i="8" s="1"/>
  <c r="CN52" i="8" s="1"/>
  <c r="CO52" i="8" s="1"/>
  <c r="CP52" i="8" s="1"/>
  <c r="CQ52" i="8" s="1"/>
  <c r="CR52" i="8" s="1"/>
  <c r="CS52" i="8" s="1"/>
  <c r="CT52" i="8" s="1"/>
  <c r="CU52" i="8" s="1"/>
  <c r="CV52" i="8" s="1"/>
  <c r="CW52" i="8" s="1"/>
  <c r="CX52" i="8" s="1"/>
  <c r="CY52" i="8" s="1"/>
  <c r="CZ52" i="8" s="1"/>
  <c r="DA52" i="8" s="1"/>
  <c r="DB52" i="8" s="1"/>
  <c r="DC52" i="8" s="1"/>
  <c r="DD52" i="8" s="1"/>
  <c r="DE52" i="8" s="1"/>
  <c r="DF52" i="8" s="1"/>
  <c r="DG52" i="8" s="1"/>
  <c r="DH52" i="8" s="1"/>
  <c r="DI52" i="8" s="1"/>
  <c r="DJ52" i="8" s="1"/>
  <c r="DK52" i="8" s="1"/>
  <c r="DL52" i="8" s="1"/>
  <c r="DM52" i="8" s="1"/>
  <c r="F42" i="8"/>
  <c r="G42" i="8" s="1"/>
  <c r="H42" i="8" s="1"/>
  <c r="I42" i="8" s="1"/>
  <c r="J42" i="8" s="1"/>
  <c r="K42" i="8" s="1"/>
  <c r="L42" i="8" s="1"/>
  <c r="M42" i="8" s="1"/>
  <c r="N42" i="8" s="1"/>
  <c r="O42" i="8" s="1"/>
  <c r="P42" i="8" s="1"/>
  <c r="Q42" i="8" s="1"/>
  <c r="R42" i="8" s="1"/>
  <c r="S42" i="8" s="1"/>
  <c r="T42" i="8" s="1"/>
  <c r="U42" i="8" s="1"/>
  <c r="V42" i="8" s="1"/>
  <c r="W42" i="8" s="1"/>
  <c r="X42" i="8" s="1"/>
  <c r="Y42" i="8" s="1"/>
  <c r="Z42" i="8" s="1"/>
  <c r="AA42" i="8" s="1"/>
  <c r="AB42" i="8" s="1"/>
  <c r="AC42" i="8" s="1"/>
  <c r="AD42" i="8" s="1"/>
  <c r="AE42" i="8" s="1"/>
  <c r="AF42" i="8" s="1"/>
  <c r="AG42" i="8" s="1"/>
  <c r="AH42" i="8" s="1"/>
  <c r="AI42" i="8" s="1"/>
  <c r="AJ42" i="8" s="1"/>
  <c r="AK42" i="8" s="1"/>
  <c r="AL42" i="8" s="1"/>
  <c r="AM42" i="8" s="1"/>
  <c r="AN42" i="8" s="1"/>
  <c r="AO42" i="8" s="1"/>
  <c r="AP42" i="8" s="1"/>
  <c r="AQ42" i="8" s="1"/>
  <c r="AR42" i="8" s="1"/>
  <c r="AS42" i="8" s="1"/>
  <c r="AT42" i="8" s="1"/>
  <c r="AU42" i="8" s="1"/>
  <c r="AV42" i="8" s="1"/>
  <c r="AW42" i="8" s="1"/>
  <c r="AX42" i="8" s="1"/>
  <c r="AY42" i="8" s="1"/>
  <c r="AZ42" i="8" s="1"/>
  <c r="BA42" i="8" s="1"/>
  <c r="BB42" i="8" s="1"/>
  <c r="BC42" i="8" s="1"/>
  <c r="BD42" i="8" s="1"/>
  <c r="BE42" i="8" s="1"/>
  <c r="BF42" i="8" s="1"/>
  <c r="BG42" i="8" s="1"/>
  <c r="BH42" i="8" s="1"/>
  <c r="BI42" i="8" s="1"/>
  <c r="BJ42" i="8" s="1"/>
  <c r="BK42" i="8" s="1"/>
  <c r="BL42" i="8" s="1"/>
  <c r="BM42" i="8" s="1"/>
  <c r="BN42" i="8" s="1"/>
  <c r="BO42" i="8" s="1"/>
  <c r="BP42" i="8" s="1"/>
  <c r="BQ42" i="8" s="1"/>
  <c r="BR42" i="8" s="1"/>
  <c r="BS42" i="8" s="1"/>
  <c r="BT42" i="8" s="1"/>
  <c r="BU42" i="8" s="1"/>
  <c r="BV42" i="8" s="1"/>
  <c r="BW42" i="8" s="1"/>
  <c r="BX42" i="8" s="1"/>
  <c r="BY42" i="8" s="1"/>
  <c r="BZ42" i="8" s="1"/>
  <c r="CA42" i="8" s="1"/>
  <c r="CB42" i="8" s="1"/>
  <c r="CC42" i="8" s="1"/>
  <c r="CD42" i="8" s="1"/>
  <c r="CE42" i="8" s="1"/>
  <c r="CF42" i="8" s="1"/>
  <c r="CG42" i="8" s="1"/>
  <c r="CH42" i="8" s="1"/>
  <c r="CI42" i="8" s="1"/>
  <c r="CJ42" i="8" s="1"/>
  <c r="CK42" i="8" s="1"/>
  <c r="CL42" i="8" s="1"/>
  <c r="CM42" i="8" s="1"/>
  <c r="CN42" i="8" s="1"/>
  <c r="CO42" i="8" s="1"/>
  <c r="CP42" i="8" s="1"/>
  <c r="CQ42" i="8" s="1"/>
  <c r="CR42" i="8" s="1"/>
  <c r="CS42" i="8" s="1"/>
  <c r="CT42" i="8" s="1"/>
  <c r="CU42" i="8" s="1"/>
  <c r="CV42" i="8" s="1"/>
  <c r="CW42" i="8" s="1"/>
  <c r="CX42" i="8" s="1"/>
  <c r="CY42" i="8" s="1"/>
  <c r="CZ42" i="8" s="1"/>
  <c r="DA42" i="8" s="1"/>
  <c r="DB42" i="8" s="1"/>
  <c r="DC42" i="8" s="1"/>
  <c r="DD42" i="8" s="1"/>
  <c r="DE42" i="8" s="1"/>
  <c r="DF42" i="8" s="1"/>
  <c r="DG42" i="8" s="1"/>
  <c r="DH42" i="8" s="1"/>
  <c r="DI42" i="8" s="1"/>
  <c r="DJ42" i="8" s="1"/>
  <c r="DK42" i="8" s="1"/>
  <c r="DL42" i="8" s="1"/>
  <c r="DM42" i="8" s="1"/>
  <c r="F25" i="8"/>
  <c r="G25" i="8" s="1"/>
  <c r="H25" i="8" s="1"/>
  <c r="I25" i="8" s="1"/>
  <c r="J25" i="8" s="1"/>
  <c r="K25" i="8" s="1"/>
  <c r="L25" i="8" s="1"/>
  <c r="M25" i="8" s="1"/>
  <c r="N25" i="8" s="1"/>
  <c r="O25" i="8" s="1"/>
  <c r="P25" i="8" s="1"/>
  <c r="Q25" i="8" s="1"/>
  <c r="R25" i="8" s="1"/>
  <c r="S25" i="8" s="1"/>
  <c r="F15" i="8"/>
  <c r="N66" i="7"/>
  <c r="M66" i="7"/>
  <c r="L66" i="7"/>
  <c r="K66" i="7"/>
  <c r="J66" i="7"/>
  <c r="I66" i="7"/>
  <c r="H66" i="7"/>
  <c r="G66" i="7"/>
  <c r="F66" i="7"/>
  <c r="E66" i="7"/>
  <c r="D66" i="7"/>
  <c r="C66" i="7"/>
  <c r="N56" i="7"/>
  <c r="AC55" i="7"/>
  <c r="AB55" i="7"/>
  <c r="AA55" i="7"/>
  <c r="Z55" i="7"/>
  <c r="Y55" i="7"/>
  <c r="X55" i="7"/>
  <c r="W55" i="7"/>
  <c r="V55" i="7"/>
  <c r="U55" i="7"/>
  <c r="T55" i="7"/>
  <c r="S55" i="7"/>
  <c r="R55" i="7"/>
  <c r="Q55" i="7"/>
  <c r="P55" i="7"/>
  <c r="N55" i="7"/>
  <c r="M55" i="7"/>
  <c r="L55" i="7"/>
  <c r="K55" i="7"/>
  <c r="J55" i="7"/>
  <c r="I55" i="7"/>
  <c r="H55" i="7"/>
  <c r="G55" i="7"/>
  <c r="F55" i="7"/>
  <c r="E55" i="7"/>
  <c r="D55" i="7"/>
  <c r="C55" i="7"/>
  <c r="D49" i="7"/>
  <c r="E49" i="7"/>
  <c r="F49" i="7"/>
  <c r="G49" i="7"/>
  <c r="H49" i="7"/>
  <c r="I49" i="7"/>
  <c r="J49" i="7"/>
  <c r="K49" i="7"/>
  <c r="L49" i="7"/>
  <c r="M49" i="7"/>
  <c r="N49" i="7"/>
  <c r="C49" i="7"/>
  <c r="D25" i="7"/>
  <c r="E25" i="7"/>
  <c r="F25" i="7"/>
  <c r="G25" i="7"/>
  <c r="H25" i="7"/>
  <c r="I25" i="7"/>
  <c r="J25" i="7"/>
  <c r="K25" i="7"/>
  <c r="L25" i="7"/>
  <c r="M25" i="7"/>
  <c r="C25" i="7"/>
  <c r="D38" i="7"/>
  <c r="E38" i="7"/>
  <c r="F38" i="7"/>
  <c r="G38" i="7"/>
  <c r="H38" i="7"/>
  <c r="I38" i="7"/>
  <c r="J38" i="7"/>
  <c r="K38" i="7"/>
  <c r="L38" i="7"/>
  <c r="M38" i="7"/>
  <c r="C38" i="7"/>
  <c r="D31" i="7"/>
  <c r="D32" i="7"/>
  <c r="D33" i="7"/>
  <c r="C33" i="7"/>
  <c r="C32" i="7"/>
  <c r="C31" i="7"/>
  <c r="R6" i="7"/>
  <c r="G4" i="15"/>
  <c r="H4" i="15" s="1"/>
  <c r="I4" i="15" s="1"/>
  <c r="J4" i="15" s="1"/>
  <c r="K4" i="15" s="1"/>
  <c r="P23" i="1"/>
  <c r="P24" i="1"/>
  <c r="C90" i="6"/>
  <c r="C92" i="6"/>
  <c r="L34" i="8"/>
  <c r="K34" i="8"/>
  <c r="J34" i="8"/>
  <c r="I34" i="8"/>
  <c r="H34" i="8"/>
  <c r="G34" i="8"/>
  <c r="G12" i="8"/>
  <c r="H12" i="8"/>
  <c r="I12" i="8"/>
  <c r="J12" i="8"/>
  <c r="K12" i="8"/>
  <c r="L12" i="8"/>
  <c r="M12" i="8"/>
  <c r="N12" i="8"/>
  <c r="O12" i="8"/>
  <c r="P12" i="8"/>
  <c r="Q12" i="8"/>
  <c r="R12" i="8"/>
  <c r="S12" i="8"/>
  <c r="T12" i="8"/>
  <c r="U12" i="8"/>
  <c r="F12" i="8"/>
  <c r="O20" i="1"/>
  <c r="H16" i="8"/>
  <c r="H20" i="8"/>
  <c r="H22" i="8" s="1"/>
  <c r="I16" i="8"/>
  <c r="I20" i="8" s="1"/>
  <c r="I22" i="8" s="1"/>
  <c r="J16" i="8"/>
  <c r="J20" i="8" s="1"/>
  <c r="J22" i="8" s="1"/>
  <c r="K16" i="8"/>
  <c r="K20" i="8"/>
  <c r="K22" i="8" s="1"/>
  <c r="L16" i="8"/>
  <c r="L20" i="8" s="1"/>
  <c r="L22" i="8" s="1"/>
  <c r="M16" i="8"/>
  <c r="M20" i="8" s="1"/>
  <c r="M22" i="8" s="1"/>
  <c r="N16" i="8"/>
  <c r="N20" i="8" s="1"/>
  <c r="N22" i="8" s="1"/>
  <c r="O16" i="8"/>
  <c r="O20" i="8"/>
  <c r="O22" i="8" s="1"/>
  <c r="P16" i="8"/>
  <c r="P20" i="8" s="1"/>
  <c r="P22" i="8" s="1"/>
  <c r="Q16" i="8"/>
  <c r="Q20" i="8" s="1"/>
  <c r="Q22" i="8" s="1"/>
  <c r="R16" i="8"/>
  <c r="R20" i="8" s="1"/>
  <c r="R22" i="8" s="1"/>
  <c r="S16" i="8"/>
  <c r="S20" i="8"/>
  <c r="S22" i="8" s="1"/>
  <c r="T16" i="8"/>
  <c r="T20" i="8" s="1"/>
  <c r="T22" i="8" s="1"/>
  <c r="U16" i="8"/>
  <c r="U20" i="8" s="1"/>
  <c r="U22" i="8" s="1"/>
  <c r="G16" i="8"/>
  <c r="G20" i="8"/>
  <c r="G22" i="8" s="1"/>
  <c r="W11" i="12"/>
  <c r="V11" i="12"/>
  <c r="U5" i="12"/>
  <c r="T5" i="12"/>
  <c r="P5" i="12"/>
  <c r="S5" i="12"/>
  <c r="B12" i="12"/>
  <c r="E6" i="12"/>
  <c r="D52" i="7"/>
  <c r="B68" i="1"/>
  <c r="L38" i="8"/>
  <c r="L37" i="8"/>
  <c r="L36" i="8"/>
  <c r="B6" i="12"/>
  <c r="J6" i="12"/>
  <c r="I6" i="12"/>
  <c r="N6" i="7"/>
  <c r="B2" i="1"/>
  <c r="C18" i="4"/>
  <c r="E22" i="4"/>
  <c r="K9" i="15"/>
  <c r="K10" i="15" s="1"/>
  <c r="J9" i="15"/>
  <c r="I9" i="15"/>
  <c r="H9" i="15"/>
  <c r="G9" i="15"/>
  <c r="F9" i="15"/>
  <c r="E9" i="15"/>
  <c r="D9" i="15"/>
  <c r="C9" i="15"/>
  <c r="J7" i="15"/>
  <c r="I7" i="15"/>
  <c r="H7" i="15"/>
  <c r="G7" i="15"/>
  <c r="F7" i="15"/>
  <c r="E7" i="15"/>
  <c r="D7" i="15"/>
  <c r="C7" i="15"/>
  <c r="J6" i="15"/>
  <c r="I6" i="15"/>
  <c r="H6" i="15"/>
  <c r="G6" i="15"/>
  <c r="F6" i="15"/>
  <c r="E6" i="15"/>
  <c r="D6" i="15"/>
  <c r="C6" i="15"/>
  <c r="K5" i="15"/>
  <c r="J5" i="15"/>
  <c r="I5" i="15"/>
  <c r="H5" i="15"/>
  <c r="G5" i="15"/>
  <c r="F5" i="15"/>
  <c r="E5" i="15"/>
  <c r="D5" i="15"/>
  <c r="C5" i="15"/>
  <c r="K7" i="15"/>
  <c r="K6" i="15"/>
  <c r="I17" i="6"/>
  <c r="J17" i="6"/>
  <c r="D17" i="6"/>
  <c r="E17" i="6"/>
  <c r="F17" i="6"/>
  <c r="G17" i="6"/>
  <c r="H17" i="6"/>
  <c r="K17" i="6"/>
  <c r="I16" i="6"/>
  <c r="D19" i="6"/>
  <c r="E19" i="6"/>
  <c r="F19" i="6"/>
  <c r="G19" i="6"/>
  <c r="H19" i="6"/>
  <c r="I19" i="6"/>
  <c r="J19" i="6"/>
  <c r="K19" i="6"/>
  <c r="B95" i="1"/>
  <c r="B94" i="1"/>
  <c r="B93" i="1"/>
  <c r="B92" i="1"/>
  <c r="B91" i="1"/>
  <c r="B90" i="1"/>
  <c r="D28" i="10"/>
  <c r="E28" i="10"/>
  <c r="G28" i="10"/>
  <c r="H28" i="10"/>
  <c r="I28" i="10"/>
  <c r="J28" i="10"/>
  <c r="K28" i="10"/>
  <c r="C28" i="10"/>
  <c r="D27" i="10"/>
  <c r="E27" i="10"/>
  <c r="G27" i="10"/>
  <c r="H27" i="10"/>
  <c r="I27" i="10"/>
  <c r="J27" i="10"/>
  <c r="K27" i="10"/>
  <c r="C27" i="10"/>
  <c r="D26" i="10"/>
  <c r="E26" i="10"/>
  <c r="G26" i="10"/>
  <c r="H26" i="10"/>
  <c r="I26" i="10"/>
  <c r="J26" i="10"/>
  <c r="K26" i="10"/>
  <c r="C26" i="10"/>
  <c r="F27" i="10"/>
  <c r="F26" i="10"/>
  <c r="F28" i="10"/>
  <c r="D16" i="6"/>
  <c r="E16" i="6"/>
  <c r="F16" i="6"/>
  <c r="G16" i="6"/>
  <c r="H16" i="6"/>
  <c r="J16" i="6"/>
  <c r="K16" i="6"/>
  <c r="D4" i="6"/>
  <c r="D9" i="6"/>
  <c r="D11" i="6" s="1"/>
  <c r="D12" i="6" s="1"/>
  <c r="E4" i="6"/>
  <c r="E9" i="6" s="1"/>
  <c r="F4" i="6"/>
  <c r="F9" i="6" s="1"/>
  <c r="G4" i="6"/>
  <c r="G9" i="6" s="1"/>
  <c r="H4" i="6"/>
  <c r="H9" i="6" s="1"/>
  <c r="I4" i="6"/>
  <c r="I9" i="6" s="1"/>
  <c r="J4" i="6"/>
  <c r="J9" i="6" s="1"/>
  <c r="K4" i="6"/>
  <c r="K9" i="6" s="1"/>
  <c r="C4" i="6"/>
  <c r="C9" i="6" s="1"/>
  <c r="D29" i="6"/>
  <c r="E29" i="6"/>
  <c r="F29" i="6"/>
  <c r="G29" i="6"/>
  <c r="H29" i="6"/>
  <c r="I29" i="6"/>
  <c r="J29" i="6"/>
  <c r="K29" i="6"/>
  <c r="D51" i="14"/>
  <c r="E51" i="14"/>
  <c r="F51" i="14" s="1"/>
  <c r="G51" i="14" s="1"/>
  <c r="H51" i="14" s="1"/>
  <c r="I51" i="14" s="1"/>
  <c r="J51" i="14" s="1"/>
  <c r="K51" i="14" s="1"/>
  <c r="L51" i="14" s="1"/>
  <c r="M51" i="14" s="1"/>
  <c r="N51" i="14" s="1"/>
  <c r="O51" i="14" s="1"/>
  <c r="P51" i="14" s="1"/>
  <c r="Q51" i="14" s="1"/>
  <c r="R51" i="14" s="1"/>
  <c r="S51" i="14" s="1"/>
  <c r="T51" i="14" s="1"/>
  <c r="U51" i="14" s="1"/>
  <c r="V51" i="14" s="1"/>
  <c r="C2" i="14"/>
  <c r="D42" i="14"/>
  <c r="E42" i="14" s="1"/>
  <c r="F42" i="14" s="1"/>
  <c r="D33" i="14"/>
  <c r="E33" i="14"/>
  <c r="F33" i="14" s="1"/>
  <c r="G33" i="14" s="1"/>
  <c r="E3" i="14"/>
  <c r="D2" i="14"/>
  <c r="B88" i="1"/>
  <c r="N73" i="1"/>
  <c r="M73" i="1" s="1"/>
  <c r="I73" i="1"/>
  <c r="AC48" i="7"/>
  <c r="F89" i="1"/>
  <c r="E89" i="1" s="1"/>
  <c r="D89" i="1" s="1"/>
  <c r="C89" i="1" s="1"/>
  <c r="F73" i="1"/>
  <c r="B105" i="1"/>
  <c r="AB66" i="7"/>
  <c r="O66" i="7"/>
  <c r="AB11" i="7"/>
  <c r="N38" i="7"/>
  <c r="K36" i="8"/>
  <c r="G36" i="8"/>
  <c r="H36" i="8"/>
  <c r="I36" i="8"/>
  <c r="J36" i="8"/>
  <c r="F36" i="8"/>
  <c r="G38" i="8"/>
  <c r="H38" i="8"/>
  <c r="I38" i="8"/>
  <c r="J38" i="8"/>
  <c r="K38" i="8"/>
  <c r="F38" i="8"/>
  <c r="K37" i="8"/>
  <c r="G37" i="8"/>
  <c r="H37" i="8"/>
  <c r="I37" i="8"/>
  <c r="J37" i="8"/>
  <c r="N35" i="8"/>
  <c r="F37" i="8"/>
  <c r="C71" i="8"/>
  <c r="C61" i="8"/>
  <c r="C51" i="8"/>
  <c r="C41" i="8"/>
  <c r="D55" i="1"/>
  <c r="B57" i="1"/>
  <c r="B56" i="1"/>
  <c r="B55" i="1"/>
  <c r="B54" i="1"/>
  <c r="B53" i="1"/>
  <c r="H72" i="8"/>
  <c r="I72" i="8" s="1"/>
  <c r="J72" i="8" s="1"/>
  <c r="K72" i="8" s="1"/>
  <c r="L72" i="8" s="1"/>
  <c r="M72" i="8" s="1"/>
  <c r="N72" i="8" s="1"/>
  <c r="O72" i="8" s="1"/>
  <c r="P72" i="8" s="1"/>
  <c r="Q72" i="8" s="1"/>
  <c r="R72" i="8" s="1"/>
  <c r="S72" i="8" s="1"/>
  <c r="T72" i="8" s="1"/>
  <c r="U72" i="8" s="1"/>
  <c r="V72" i="8" s="1"/>
  <c r="W72" i="8" s="1"/>
  <c r="X72" i="8" s="1"/>
  <c r="Y72" i="8" s="1"/>
  <c r="Z72" i="8" s="1"/>
  <c r="AA72" i="8" s="1"/>
  <c r="AB72" i="8" s="1"/>
  <c r="AC72" i="8" s="1"/>
  <c r="AD72" i="8" s="1"/>
  <c r="AE72" i="8" s="1"/>
  <c r="AF72" i="8" s="1"/>
  <c r="AG72" i="8" s="1"/>
  <c r="AH72" i="8" s="1"/>
  <c r="AI72" i="8" s="1"/>
  <c r="AJ72" i="8" s="1"/>
  <c r="AK72" i="8" s="1"/>
  <c r="AL72" i="8" s="1"/>
  <c r="AM72" i="8" s="1"/>
  <c r="AN72" i="8" s="1"/>
  <c r="AO72" i="8" s="1"/>
  <c r="AP72" i="8" s="1"/>
  <c r="AQ72" i="8" s="1"/>
  <c r="AR72" i="8" s="1"/>
  <c r="AS72" i="8" s="1"/>
  <c r="AT72" i="8" s="1"/>
  <c r="AU72" i="8" s="1"/>
  <c r="AV72" i="8" s="1"/>
  <c r="AW72" i="8" s="1"/>
  <c r="AX72" i="8" s="1"/>
  <c r="AY72" i="8" s="1"/>
  <c r="AZ72" i="8" s="1"/>
  <c r="BA72" i="8" s="1"/>
  <c r="BB72" i="8" s="1"/>
  <c r="BC72" i="8" s="1"/>
  <c r="BD72" i="8" s="1"/>
  <c r="BE72" i="8" s="1"/>
  <c r="BF72" i="8" s="1"/>
  <c r="BG72" i="8" s="1"/>
  <c r="BH72" i="8" s="1"/>
  <c r="BI72" i="8" s="1"/>
  <c r="BJ72" i="8" s="1"/>
  <c r="BK72" i="8" s="1"/>
  <c r="BL72" i="8" s="1"/>
  <c r="BM72" i="8" s="1"/>
  <c r="BN72" i="8" s="1"/>
  <c r="BO72" i="8" s="1"/>
  <c r="BP72" i="8" s="1"/>
  <c r="BQ72" i="8" s="1"/>
  <c r="BR72" i="8" s="1"/>
  <c r="BS72" i="8" s="1"/>
  <c r="BT72" i="8" s="1"/>
  <c r="BU72" i="8" s="1"/>
  <c r="BV72" i="8" s="1"/>
  <c r="BW72" i="8" s="1"/>
  <c r="BX72" i="8" s="1"/>
  <c r="BY72" i="8" s="1"/>
  <c r="BZ72" i="8" s="1"/>
  <c r="CA72" i="8" s="1"/>
  <c r="CB72" i="8" s="1"/>
  <c r="CC72" i="8" s="1"/>
  <c r="CD72" i="8" s="1"/>
  <c r="CE72" i="8" s="1"/>
  <c r="CF72" i="8" s="1"/>
  <c r="CG72" i="8" s="1"/>
  <c r="CH72" i="8" s="1"/>
  <c r="CI72" i="8" s="1"/>
  <c r="CJ72" i="8" s="1"/>
  <c r="CK72" i="8" s="1"/>
  <c r="CL72" i="8" s="1"/>
  <c r="CM72" i="8" s="1"/>
  <c r="CN72" i="8" s="1"/>
  <c r="CO72" i="8" s="1"/>
  <c r="CP72" i="8" s="1"/>
  <c r="CQ72" i="8" s="1"/>
  <c r="CR72" i="8" s="1"/>
  <c r="CS72" i="8" s="1"/>
  <c r="CT72" i="8" s="1"/>
  <c r="CU72" i="8" s="1"/>
  <c r="CV72" i="8" s="1"/>
  <c r="CW72" i="8" s="1"/>
  <c r="CX72" i="8" s="1"/>
  <c r="CY72" i="8" s="1"/>
  <c r="CZ72" i="8" s="1"/>
  <c r="DA72" i="8" s="1"/>
  <c r="DB72" i="8" s="1"/>
  <c r="DC72" i="8" s="1"/>
  <c r="DD72" i="8" s="1"/>
  <c r="DE72" i="8" s="1"/>
  <c r="DF72" i="8" s="1"/>
  <c r="DG72" i="8" s="1"/>
  <c r="DH72" i="8" s="1"/>
  <c r="DI72" i="8" s="1"/>
  <c r="DJ72" i="8" s="1"/>
  <c r="DK72" i="8" s="1"/>
  <c r="DL72" i="8" s="1"/>
  <c r="DM72" i="8" s="1"/>
  <c r="D57" i="1"/>
  <c r="C57" i="1"/>
  <c r="D56" i="1"/>
  <c r="C56" i="1"/>
  <c r="C55" i="1"/>
  <c r="D54" i="1"/>
  <c r="C54" i="1"/>
  <c r="D53" i="1"/>
  <c r="C53" i="1"/>
  <c r="F20" i="8"/>
  <c r="N31" i="11"/>
  <c r="M31" i="11" s="1"/>
  <c r="L31" i="11" s="1"/>
  <c r="K31" i="11" s="1"/>
  <c r="J31" i="11" s="1"/>
  <c r="I31" i="11" s="1"/>
  <c r="N14" i="11"/>
  <c r="M14" i="11" s="1"/>
  <c r="L14" i="11" s="1"/>
  <c r="N9" i="11"/>
  <c r="M9" i="11" s="1"/>
  <c r="L9" i="11" s="1"/>
  <c r="K9" i="11" s="1"/>
  <c r="J9" i="11" s="1"/>
  <c r="I9" i="11" s="1"/>
  <c r="H9" i="11" s="1"/>
  <c r="G9" i="11" s="1"/>
  <c r="F9" i="11" s="1"/>
  <c r="E9" i="11" s="1"/>
  <c r="D9" i="11" s="1"/>
  <c r="C9" i="11" s="1"/>
  <c r="N3" i="11"/>
  <c r="O25" i="7"/>
  <c r="P25" i="7"/>
  <c r="Q25" i="7"/>
  <c r="R25" i="7"/>
  <c r="N25" i="7"/>
  <c r="K23" i="10"/>
  <c r="K31" i="10"/>
  <c r="K13" i="10"/>
  <c r="J11" i="2"/>
  <c r="J8" i="2"/>
  <c r="J6" i="2"/>
  <c r="AA11" i="7"/>
  <c r="O65" i="7"/>
  <c r="P65" i="7"/>
  <c r="Q65" i="7" s="1"/>
  <c r="R65" i="7" s="1"/>
  <c r="S65" i="7"/>
  <c r="T65" i="7"/>
  <c r="U65" i="7" s="1"/>
  <c r="V65" i="7" s="1"/>
  <c r="W65" i="7" s="1"/>
  <c r="X65" i="7" s="1"/>
  <c r="Y65" i="7" s="1"/>
  <c r="Z65" i="7" s="1"/>
  <c r="AA65" i="7" s="1"/>
  <c r="AB65" i="7"/>
  <c r="AC65" i="7" s="1"/>
  <c r="D64" i="7"/>
  <c r="E64" i="7" s="1"/>
  <c r="F64" i="7" s="1"/>
  <c r="G64" i="7" s="1"/>
  <c r="H64" i="7" s="1"/>
  <c r="I64" i="7" s="1"/>
  <c r="J64" i="7" s="1"/>
  <c r="K64" i="7" s="1"/>
  <c r="L64" i="7" s="1"/>
  <c r="M64" i="7" s="1"/>
  <c r="N64" i="7" s="1"/>
  <c r="P66" i="7"/>
  <c r="Q66" i="7"/>
  <c r="R66" i="7"/>
  <c r="C17" i="10"/>
  <c r="S66" i="7"/>
  <c r="J23" i="10"/>
  <c r="J24" i="10" s="1"/>
  <c r="J30" i="10"/>
  <c r="F23" i="10"/>
  <c r="F30" i="10" s="1"/>
  <c r="H23" i="10"/>
  <c r="H31" i="10"/>
  <c r="D23" i="10"/>
  <c r="D30" i="10"/>
  <c r="C23" i="10"/>
  <c r="C31" i="10"/>
  <c r="G23" i="10"/>
  <c r="G32" i="10" s="1"/>
  <c r="I23" i="10"/>
  <c r="E23" i="10"/>
  <c r="T66" i="7"/>
  <c r="J32" i="10"/>
  <c r="E32" i="10"/>
  <c r="U66" i="7"/>
  <c r="V66" i="7"/>
  <c r="C42" i="6"/>
  <c r="D44" i="6"/>
  <c r="W66" i="7"/>
  <c r="X66" i="7"/>
  <c r="J13" i="10"/>
  <c r="J15" i="10" s="1"/>
  <c r="Y66" i="7"/>
  <c r="D3" i="10"/>
  <c r="D17" i="10"/>
  <c r="D24" i="10"/>
  <c r="Z66" i="7"/>
  <c r="I13" i="10"/>
  <c r="I15" i="10"/>
  <c r="H13" i="10"/>
  <c r="H15" i="10" s="1"/>
  <c r="D13" i="10"/>
  <c r="D15" i="10"/>
  <c r="F13" i="10"/>
  <c r="F15" i="10"/>
  <c r="E13" i="10"/>
  <c r="E15" i="10"/>
  <c r="G13" i="10"/>
  <c r="G15" i="10" s="1"/>
  <c r="AA66" i="7"/>
  <c r="AC66" i="7"/>
  <c r="C17" i="4"/>
  <c r="C20" i="4" s="1"/>
  <c r="G15" i="8"/>
  <c r="H15" i="8" s="1"/>
  <c r="I15" i="8" s="1"/>
  <c r="J15" i="8"/>
  <c r="K15" i="8" s="1"/>
  <c r="L15" i="8" s="1"/>
  <c r="M15" i="8" s="1"/>
  <c r="G8" i="8"/>
  <c r="H8" i="8" s="1"/>
  <c r="I8" i="8" s="1"/>
  <c r="J8" i="8" s="1"/>
  <c r="K8" i="8" s="1"/>
  <c r="L8" i="8" s="1"/>
  <c r="M8" i="8" s="1"/>
  <c r="N8" i="8" s="1"/>
  <c r="O8" i="8" s="1"/>
  <c r="P8" i="8" s="1"/>
  <c r="Q8" i="8" s="1"/>
  <c r="R8" i="8" s="1"/>
  <c r="S8" i="8" s="1"/>
  <c r="T8" i="8" s="1"/>
  <c r="U8" i="8" s="1"/>
  <c r="V8" i="8" s="1"/>
  <c r="W8" i="8" s="1"/>
  <c r="X8" i="8" s="1"/>
  <c r="Y8" i="8" s="1"/>
  <c r="Z8" i="8" s="1"/>
  <c r="AA8" i="8" s="1"/>
  <c r="AB8" i="8" s="1"/>
  <c r="AC8" i="8" s="1"/>
  <c r="AD8" i="8" s="1"/>
  <c r="AE8" i="8" s="1"/>
  <c r="AF8" i="8" s="1"/>
  <c r="AG8" i="8" s="1"/>
  <c r="AH8" i="8" s="1"/>
  <c r="AI8" i="8" s="1"/>
  <c r="AJ8" i="8" s="1"/>
  <c r="AK8" i="8" s="1"/>
  <c r="AL8" i="8" s="1"/>
  <c r="AM8" i="8" s="1"/>
  <c r="AN8" i="8" s="1"/>
  <c r="AO8" i="8" s="1"/>
  <c r="AP8" i="8" s="1"/>
  <c r="AQ8" i="8" s="1"/>
  <c r="AR8" i="8" s="1"/>
  <c r="AS8" i="8" s="1"/>
  <c r="AT8" i="8" s="1"/>
  <c r="AU8" i="8" s="1"/>
  <c r="AV8" i="8" s="1"/>
  <c r="AW8" i="8" s="1"/>
  <c r="AX8" i="8" s="1"/>
  <c r="AY8" i="8" s="1"/>
  <c r="AZ8" i="8" s="1"/>
  <c r="BA8" i="8" s="1"/>
  <c r="BB8" i="8" s="1"/>
  <c r="BC8" i="8" s="1"/>
  <c r="BD8" i="8" s="1"/>
  <c r="BE8" i="8" s="1"/>
  <c r="BF8" i="8" s="1"/>
  <c r="BG8" i="8" s="1"/>
  <c r="BH8" i="8" s="1"/>
  <c r="BI8" i="8" s="1"/>
  <c r="BJ8" i="8" s="1"/>
  <c r="BK8" i="8" s="1"/>
  <c r="BL8" i="8" s="1"/>
  <c r="BM8" i="8" s="1"/>
  <c r="BN8" i="8" s="1"/>
  <c r="BO8" i="8" s="1"/>
  <c r="BP8" i="8" s="1"/>
  <c r="BQ8" i="8" s="1"/>
  <c r="BR8" i="8" s="1"/>
  <c r="BS8" i="8" s="1"/>
  <c r="BT8" i="8" s="1"/>
  <c r="BU8" i="8" s="1"/>
  <c r="BV8" i="8" s="1"/>
  <c r="BW8" i="8" s="1"/>
  <c r="BX8" i="8" s="1"/>
  <c r="BY8" i="8" s="1"/>
  <c r="BZ8" i="8" s="1"/>
  <c r="CA8" i="8" s="1"/>
  <c r="CB8" i="8" s="1"/>
  <c r="CC8" i="8" s="1"/>
  <c r="CD8" i="8" s="1"/>
  <c r="CE8" i="8" s="1"/>
  <c r="CF8" i="8" s="1"/>
  <c r="CG8" i="8" s="1"/>
  <c r="CH8" i="8" s="1"/>
  <c r="CI8" i="8" s="1"/>
  <c r="CJ8" i="8" s="1"/>
  <c r="CK8" i="8" s="1"/>
  <c r="P56" i="7"/>
  <c r="Q56" i="7"/>
  <c r="R56" i="7"/>
  <c r="S56" i="7"/>
  <c r="T56" i="7"/>
  <c r="U56" i="7"/>
  <c r="V56" i="7"/>
  <c r="W56" i="7"/>
  <c r="X56" i="7"/>
  <c r="Y56" i="7"/>
  <c r="Z56" i="7"/>
  <c r="AA56" i="7"/>
  <c r="AB56" i="7"/>
  <c r="AC56" i="7"/>
  <c r="O56" i="7"/>
  <c r="O55" i="7"/>
  <c r="P44" i="7"/>
  <c r="Q11" i="7"/>
  <c r="R11" i="7"/>
  <c r="S11" i="7"/>
  <c r="T11" i="7"/>
  <c r="U11" i="7"/>
  <c r="V11" i="7"/>
  <c r="W11" i="7"/>
  <c r="X11" i="7"/>
  <c r="Y11" i="7"/>
  <c r="Z11" i="7"/>
  <c r="O30" i="7"/>
  <c r="P30" i="7" s="1"/>
  <c r="Q30" i="7" s="1"/>
  <c r="R30" i="7" s="1"/>
  <c r="S30" i="7" s="1"/>
  <c r="T30" i="7" s="1"/>
  <c r="U30" i="7" s="1"/>
  <c r="V30" i="7" s="1"/>
  <c r="W30" i="7" s="1"/>
  <c r="X30" i="7" s="1"/>
  <c r="Y30" i="7" s="1"/>
  <c r="Z30" i="7" s="1"/>
  <c r="AA30" i="7" s="1"/>
  <c r="AB30" i="7" s="1"/>
  <c r="AC30" i="7" s="1"/>
  <c r="AD30" i="7" s="1"/>
  <c r="AE30" i="7" s="1"/>
  <c r="AF30" i="7" s="1"/>
  <c r="AG30" i="7" s="1"/>
  <c r="AH30" i="7" s="1"/>
  <c r="AI30" i="7" s="1"/>
  <c r="AJ30" i="7" s="1"/>
  <c r="AK30" i="7" s="1"/>
  <c r="AL30" i="7" s="1"/>
  <c r="AM30" i="7" s="1"/>
  <c r="AN30" i="7" s="1"/>
  <c r="AO30" i="7" s="1"/>
  <c r="AP30" i="7" s="1"/>
  <c r="AQ30" i="7" s="1"/>
  <c r="AR30" i="7" s="1"/>
  <c r="AS30" i="7" s="1"/>
  <c r="AT30" i="7" s="1"/>
  <c r="AU30" i="7" s="1"/>
  <c r="AV30" i="7" s="1"/>
  <c r="AW30" i="7" s="1"/>
  <c r="AX30" i="7" s="1"/>
  <c r="AY30" i="7" s="1"/>
  <c r="AZ30" i="7" s="1"/>
  <c r="BA30" i="7" s="1"/>
  <c r="BB30" i="7" s="1"/>
  <c r="BC30" i="7" s="1"/>
  <c r="BD30" i="7" s="1"/>
  <c r="BE30" i="7" s="1"/>
  <c r="BF30" i="7" s="1"/>
  <c r="BG30" i="7" s="1"/>
  <c r="BH30" i="7" s="1"/>
  <c r="BI30" i="7" s="1"/>
  <c r="BJ30" i="7" s="1"/>
  <c r="BK30" i="7" s="1"/>
  <c r="BL30" i="7" s="1"/>
  <c r="BM30" i="7" s="1"/>
  <c r="BN30" i="7" s="1"/>
  <c r="BO30" i="7" s="1"/>
  <c r="BP30" i="7" s="1"/>
  <c r="BQ30" i="7" s="1"/>
  <c r="BR30" i="7" s="1"/>
  <c r="BS30" i="7" s="1"/>
  <c r="BT30" i="7" s="1"/>
  <c r="BU30" i="7" s="1"/>
  <c r="BV30" i="7" s="1"/>
  <c r="BW30" i="7" s="1"/>
  <c r="BX30" i="7" s="1"/>
  <c r="BY30" i="7" s="1"/>
  <c r="BZ30" i="7" s="1"/>
  <c r="CA30" i="7" s="1"/>
  <c r="CB30" i="7" s="1"/>
  <c r="CC30" i="7" s="1"/>
  <c r="CD30" i="7" s="1"/>
  <c r="CE30" i="7" s="1"/>
  <c r="CF30" i="7" s="1"/>
  <c r="CG30" i="7" s="1"/>
  <c r="CH30" i="7" s="1"/>
  <c r="CI30" i="7" s="1"/>
  <c r="CJ30" i="7" s="1"/>
  <c r="CK30" i="7" s="1"/>
  <c r="CL30" i="7" s="1"/>
  <c r="CM30" i="7" s="1"/>
  <c r="CN30" i="7" s="1"/>
  <c r="CO30" i="7" s="1"/>
  <c r="CP30" i="7" s="1"/>
  <c r="CQ30" i="7" s="1"/>
  <c r="CR30" i="7" s="1"/>
  <c r="CS30" i="7" s="1"/>
  <c r="CT30" i="7" s="1"/>
  <c r="CU30" i="7" s="1"/>
  <c r="CV30" i="7" s="1"/>
  <c r="CW30" i="7" s="1"/>
  <c r="CX30" i="7" s="1"/>
  <c r="Q6" i="7"/>
  <c r="P6" i="7"/>
  <c r="O6" i="7"/>
  <c r="P11" i="7"/>
  <c r="O11" i="7"/>
  <c r="D27" i="7"/>
  <c r="D34" i="7" s="1"/>
  <c r="E27" i="7"/>
  <c r="E34" i="7" s="1"/>
  <c r="F27" i="7"/>
  <c r="F34" i="7" s="1"/>
  <c r="G27" i="7"/>
  <c r="G34" i="7" s="1"/>
  <c r="H27" i="7"/>
  <c r="H34" i="7" s="1"/>
  <c r="I27" i="7"/>
  <c r="I34" i="7" s="1"/>
  <c r="J27" i="7"/>
  <c r="J34" i="7" s="1"/>
  <c r="K27" i="7"/>
  <c r="K34" i="7" s="1"/>
  <c r="L27" i="7"/>
  <c r="L34" i="7" s="1"/>
  <c r="M27" i="7"/>
  <c r="M34" i="7" s="1"/>
  <c r="D28" i="7"/>
  <c r="E28" i="7"/>
  <c r="F28" i="7"/>
  <c r="G28" i="7"/>
  <c r="H28" i="7"/>
  <c r="I28" i="7"/>
  <c r="J28" i="7"/>
  <c r="K28" i="7"/>
  <c r="L28" i="7"/>
  <c r="M28" i="7"/>
  <c r="D19" i="7"/>
  <c r="C28" i="7"/>
  <c r="C27" i="7"/>
  <c r="C34" i="7" s="1"/>
  <c r="D3" i="7"/>
  <c r="N27" i="7"/>
  <c r="N34" i="7" s="1"/>
  <c r="O27" i="7"/>
  <c r="O34" i="7" s="1"/>
  <c r="P27" i="7"/>
  <c r="P34" i="7" s="1"/>
  <c r="Q27" i="7"/>
  <c r="Q34" i="7" s="1"/>
  <c r="R27" i="7"/>
  <c r="R34" i="7" s="1"/>
  <c r="N28" i="7"/>
  <c r="O28" i="7"/>
  <c r="P28" i="7"/>
  <c r="Q28" i="7"/>
  <c r="R28" i="7"/>
  <c r="I49" i="11"/>
  <c r="E49" i="11"/>
  <c r="G49" i="11"/>
  <c r="J49" i="11"/>
  <c r="L49" i="11"/>
  <c r="F49" i="11"/>
  <c r="D49" i="11"/>
  <c r="H49" i="11"/>
  <c r="C49" i="11"/>
  <c r="K49" i="11"/>
  <c r="E6" i="2"/>
  <c r="F6" i="2"/>
  <c r="G6" i="2"/>
  <c r="D6" i="2"/>
  <c r="D8" i="2"/>
  <c r="E8" i="2"/>
  <c r="F8" i="2"/>
  <c r="C8" i="2"/>
  <c r="D11" i="2"/>
  <c r="E11" i="2"/>
  <c r="F11" i="2"/>
  <c r="C11" i="2"/>
  <c r="N49" i="11"/>
  <c r="M49" i="11"/>
  <c r="I6" i="2"/>
  <c r="I11" i="2"/>
  <c r="H11" i="2"/>
  <c r="H8" i="2"/>
  <c r="I8" i="2"/>
  <c r="G11" i="2"/>
  <c r="G8" i="2"/>
  <c r="C19" i="2"/>
  <c r="C20" i="2" s="1"/>
  <c r="C18" i="2"/>
  <c r="C16" i="2"/>
  <c r="C17" i="2" s="1"/>
  <c r="C14" i="2"/>
  <c r="L35" i="8"/>
  <c r="L39" i="8"/>
  <c r="F35" i="8"/>
  <c r="F39" i="8"/>
  <c r="K35" i="8"/>
  <c r="G35" i="8"/>
  <c r="I35" i="8"/>
  <c r="J35" i="8"/>
  <c r="H35" i="8"/>
  <c r="G39" i="8"/>
  <c r="H39" i="8"/>
  <c r="K39" i="8"/>
  <c r="J39" i="8"/>
  <c r="I39" i="8"/>
  <c r="F27" i="1"/>
  <c r="F18" i="1" s="1"/>
  <c r="H6" i="2"/>
  <c r="C13" i="10"/>
  <c r="C15" i="10" s="1"/>
  <c r="E3" i="10"/>
  <c r="G31" i="10"/>
  <c r="K24" i="10"/>
  <c r="D18" i="2"/>
  <c r="H32" i="10"/>
  <c r="E30" i="10"/>
  <c r="E24" i="10"/>
  <c r="I16" i="15"/>
  <c r="F32" i="10"/>
  <c r="J31" i="10"/>
  <c r="K32" i="10"/>
  <c r="H16" i="15"/>
  <c r="G24" i="10"/>
  <c r="F36" i="7"/>
  <c r="G36" i="7"/>
  <c r="H36" i="7" s="1"/>
  <c r="I36" i="7" s="1"/>
  <c r="J36" i="7"/>
  <c r="K36" i="7"/>
  <c r="L36" i="7" s="1"/>
  <c r="H66" i="1"/>
  <c r="N15" i="8"/>
  <c r="O15" i="8" s="1"/>
  <c r="P15" i="8" s="1"/>
  <c r="Q15" i="8" s="1"/>
  <c r="R15" i="8" s="1"/>
  <c r="S15" i="8" s="1"/>
  <c r="T15" i="8" s="1"/>
  <c r="U15" i="8" s="1"/>
  <c r="V15" i="8" s="1"/>
  <c r="W15" i="8" s="1"/>
  <c r="X15" i="8" s="1"/>
  <c r="Y15" i="8" s="1"/>
  <c r="Z15" i="8" s="1"/>
  <c r="AA15" i="8" s="1"/>
  <c r="AB15" i="8" s="1"/>
  <c r="AC15" i="8" s="1"/>
  <c r="AD15" i="8" s="1"/>
  <c r="AE15" i="8" s="1"/>
  <c r="AF15" i="8" s="1"/>
  <c r="AG15" i="8" s="1"/>
  <c r="AH15" i="8" s="1"/>
  <c r="AI15" i="8" s="1"/>
  <c r="AJ15" i="8" s="1"/>
  <c r="AK15" i="8" s="1"/>
  <c r="AL15" i="8" s="1"/>
  <c r="AM15" i="8" s="1"/>
  <c r="AN15" i="8" s="1"/>
  <c r="AO15" i="8" s="1"/>
  <c r="AP15" i="8" s="1"/>
  <c r="AQ15" i="8" s="1"/>
  <c r="AR15" i="8" s="1"/>
  <c r="AS15" i="8" s="1"/>
  <c r="AT15" i="8" s="1"/>
  <c r="AU15" i="8" s="1"/>
  <c r="AV15" i="8" s="1"/>
  <c r="AW15" i="8" s="1"/>
  <c r="AX15" i="8" s="1"/>
  <c r="AY15" i="8" s="1"/>
  <c r="AZ15" i="8" s="1"/>
  <c r="BA15" i="8" s="1"/>
  <c r="BB15" i="8" s="1"/>
  <c r="BC15" i="8" s="1"/>
  <c r="BD15" i="8" s="1"/>
  <c r="BE15" i="8" s="1"/>
  <c r="BF15" i="8" s="1"/>
  <c r="BG15" i="8" s="1"/>
  <c r="BH15" i="8" s="1"/>
  <c r="BI15" i="8" s="1"/>
  <c r="BJ15" i="8" s="1"/>
  <c r="BK15" i="8" s="1"/>
  <c r="BL15" i="8" s="1"/>
  <c r="BM15" i="8" s="1"/>
  <c r="BN15" i="8" s="1"/>
  <c r="BO15" i="8" s="1"/>
  <c r="BP15" i="8" s="1"/>
  <c r="BQ15" i="8" s="1"/>
  <c r="BR15" i="8" s="1"/>
  <c r="BS15" i="8" s="1"/>
  <c r="BT15" i="8" s="1"/>
  <c r="BU15" i="8" s="1"/>
  <c r="BV15" i="8" s="1"/>
  <c r="BW15" i="8" s="1"/>
  <c r="BX15" i="8" s="1"/>
  <c r="BY15" i="8" s="1"/>
  <c r="BZ15" i="8" s="1"/>
  <c r="CA15" i="8" s="1"/>
  <c r="CB15" i="8" s="1"/>
  <c r="CC15" i="8" s="1"/>
  <c r="CD15" i="8" s="1"/>
  <c r="K30" i="10"/>
  <c r="J12" i="15"/>
  <c r="J13" i="15" s="1"/>
  <c r="I31" i="10"/>
  <c r="K16" i="15"/>
  <c r="J16" i="15"/>
  <c r="H10" i="15"/>
  <c r="J15" i="15"/>
  <c r="J10" i="15"/>
  <c r="I15" i="15"/>
  <c r="H15" i="15"/>
  <c r="E31" i="10"/>
  <c r="D32" i="10"/>
  <c r="D31" i="10"/>
  <c r="G10" i="15"/>
  <c r="G16" i="15"/>
  <c r="C32" i="10"/>
  <c r="C24" i="10"/>
  <c r="C30" i="10"/>
  <c r="H24" i="10"/>
  <c r="F31" i="10"/>
  <c r="G30" i="10"/>
  <c r="H30" i="10"/>
  <c r="H12" i="15"/>
  <c r="H13" i="15" s="1"/>
  <c r="F24" i="10"/>
  <c r="I12" i="15"/>
  <c r="I13" i="15"/>
  <c r="I10" i="15"/>
  <c r="G15" i="15"/>
  <c r="K15" i="15"/>
  <c r="G12" i="15"/>
  <c r="G13" i="15" s="1"/>
  <c r="K12" i="15"/>
  <c r="K13" i="15"/>
  <c r="C66" i="1"/>
  <c r="C58" i="7"/>
  <c r="C5" i="7"/>
  <c r="C54" i="7"/>
  <c r="C47" i="7"/>
  <c r="E19" i="7"/>
  <c r="F19" i="7" s="1"/>
  <c r="G19" i="7" s="1"/>
  <c r="H19" i="7" s="1"/>
  <c r="I19" i="7" s="1"/>
  <c r="J19" i="7" s="1"/>
  <c r="K19" i="7" s="1"/>
  <c r="L19" i="7" s="1"/>
  <c r="M19" i="7" s="1"/>
  <c r="N19" i="7" s="1"/>
  <c r="O19" i="7" s="1"/>
  <c r="E3" i="7"/>
  <c r="F3" i="7" s="1"/>
  <c r="E59" i="7"/>
  <c r="E58" i="7" s="1"/>
  <c r="D8" i="7"/>
  <c r="C10" i="7"/>
  <c r="E45" i="7"/>
  <c r="F45" i="7" s="1"/>
  <c r="G45" i="7" s="1"/>
  <c r="G42" i="14"/>
  <c r="H33" i="14"/>
  <c r="I33" i="14" s="1"/>
  <c r="F59" i="7"/>
  <c r="M36" i="7"/>
  <c r="N36" i="7" s="1"/>
  <c r="O36" i="7" s="1"/>
  <c r="P36" i="7" s="1"/>
  <c r="H42" i="14"/>
  <c r="G3" i="7"/>
  <c r="H3" i="7" s="1"/>
  <c r="Q36" i="7"/>
  <c r="R36" i="7"/>
  <c r="S36" i="7" s="1"/>
  <c r="T36" i="7" s="1"/>
  <c r="U36" i="7" s="1"/>
  <c r="V36" i="7"/>
  <c r="W36" i="7"/>
  <c r="X36" i="7" s="1"/>
  <c r="Y36" i="7" s="1"/>
  <c r="Z36" i="7" s="1"/>
  <c r="AA36" i="7" s="1"/>
  <c r="AB36" i="7" s="1"/>
  <c r="AC36" i="7" s="1"/>
  <c r="AD36" i="7" s="1"/>
  <c r="AE36" i="7" s="1"/>
  <c r="AF36" i="7" s="1"/>
  <c r="AG36" i="7" s="1"/>
  <c r="AH36" i="7" s="1"/>
  <c r="AI36" i="7" s="1"/>
  <c r="AJ36" i="7" s="1"/>
  <c r="AK36" i="7" s="1"/>
  <c r="AL36" i="7" s="1"/>
  <c r="AM36" i="7" s="1"/>
  <c r="AN36" i="7" s="1"/>
  <c r="AO36" i="7" s="1"/>
  <c r="AP36" i="7" s="1"/>
  <c r="AQ36" i="7" s="1"/>
  <c r="AR36" i="7" s="1"/>
  <c r="AS36" i="7" s="1"/>
  <c r="AT36" i="7" s="1"/>
  <c r="AU36" i="7" s="1"/>
  <c r="AV36" i="7" s="1"/>
  <c r="AW36" i="7" s="1"/>
  <c r="AX36" i="7" s="1"/>
  <c r="AY36" i="7" s="1"/>
  <c r="AZ36" i="7" s="1"/>
  <c r="BA36" i="7" s="1"/>
  <c r="BB36" i="7" s="1"/>
  <c r="BC36" i="7" s="1"/>
  <c r="BD36" i="7" s="1"/>
  <c r="BE36" i="7" s="1"/>
  <c r="BF36" i="7" s="1"/>
  <c r="BG36" i="7" s="1"/>
  <c r="BH36" i="7" s="1"/>
  <c r="BI36" i="7" s="1"/>
  <c r="BJ36" i="7" s="1"/>
  <c r="BK36" i="7" s="1"/>
  <c r="BL36" i="7" s="1"/>
  <c r="BM36" i="7" s="1"/>
  <c r="BN36" i="7" s="1"/>
  <c r="BO36" i="7" s="1"/>
  <c r="BP36" i="7" s="1"/>
  <c r="BQ36" i="7" s="1"/>
  <c r="BR36" i="7" s="1"/>
  <c r="BS36" i="7" s="1"/>
  <c r="BT36" i="7" s="1"/>
  <c r="BU36" i="7" s="1"/>
  <c r="BV36" i="7" s="1"/>
  <c r="BW36" i="7" s="1"/>
  <c r="BX36" i="7" s="1"/>
  <c r="BY36" i="7" s="1"/>
  <c r="BZ36" i="7" s="1"/>
  <c r="CA36" i="7" s="1"/>
  <c r="CB36" i="7" s="1"/>
  <c r="CC36" i="7" s="1"/>
  <c r="CD36" i="7" s="1"/>
  <c r="CE36" i="7" s="1"/>
  <c r="CF36" i="7" s="1"/>
  <c r="CG36" i="7" s="1"/>
  <c r="CH36" i="7" s="1"/>
  <c r="CI36" i="7" s="1"/>
  <c r="CJ36" i="7" s="1"/>
  <c r="CK36" i="7" s="1"/>
  <c r="CL36" i="7" s="1"/>
  <c r="CM36" i="7" s="1"/>
  <c r="CN36" i="7" s="1"/>
  <c r="CO36" i="7" s="1"/>
  <c r="CP36" i="7" s="1"/>
  <c r="CQ36" i="7" s="1"/>
  <c r="CR36" i="7" s="1"/>
  <c r="CS36" i="7" s="1"/>
  <c r="CT36" i="7" s="1"/>
  <c r="CU36" i="7" s="1"/>
  <c r="CV36" i="7" s="1"/>
  <c r="CW36" i="7" s="1"/>
  <c r="CX36" i="7" s="1"/>
  <c r="P19" i="7"/>
  <c r="Q19" i="7" s="1"/>
  <c r="R19" i="7"/>
  <c r="S19" i="7" s="1"/>
  <c r="T19" i="7"/>
  <c r="U19" i="7" s="1"/>
  <c r="V19" i="7" s="1"/>
  <c r="W19" i="7" s="1"/>
  <c r="X19" i="7" s="1"/>
  <c r="Y19" i="7" s="1"/>
  <c r="Z19" i="7" s="1"/>
  <c r="AA19" i="7" s="1"/>
  <c r="AB19" i="7" s="1"/>
  <c r="AC19" i="7" s="1"/>
  <c r="AD19" i="7" s="1"/>
  <c r="AE19" i="7" s="1"/>
  <c r="AF19" i="7" s="1"/>
  <c r="AG19" i="7" s="1"/>
  <c r="AH19" i="7" s="1"/>
  <c r="AI19" i="7" s="1"/>
  <c r="AJ19" i="7" s="1"/>
  <c r="AK19" i="7" s="1"/>
  <c r="AL19" i="7" s="1"/>
  <c r="AM19" i="7" s="1"/>
  <c r="AN19" i="7" s="1"/>
  <c r="AO19" i="7" s="1"/>
  <c r="AP19" i="7" s="1"/>
  <c r="AQ19" i="7" s="1"/>
  <c r="AR19" i="7" s="1"/>
  <c r="AS19" i="7" s="1"/>
  <c r="AT19" i="7" s="1"/>
  <c r="AU19" i="7" s="1"/>
  <c r="AV19" i="7" s="1"/>
  <c r="AW19" i="7" s="1"/>
  <c r="AX19" i="7" s="1"/>
  <c r="AY19" i="7" s="1"/>
  <c r="AZ19" i="7" s="1"/>
  <c r="BA19" i="7" s="1"/>
  <c r="BB19" i="7" s="1"/>
  <c r="BC19" i="7" s="1"/>
  <c r="BD19" i="7" s="1"/>
  <c r="BE19" i="7" s="1"/>
  <c r="BF19" i="7" s="1"/>
  <c r="BG19" i="7" s="1"/>
  <c r="BH19" i="7" s="1"/>
  <c r="BI19" i="7" s="1"/>
  <c r="BJ19" i="7" s="1"/>
  <c r="BK19" i="7" s="1"/>
  <c r="BL19" i="7" s="1"/>
  <c r="BM19" i="7" s="1"/>
  <c r="BN19" i="7" s="1"/>
  <c r="BO19" i="7" s="1"/>
  <c r="BP19" i="7" s="1"/>
  <c r="BQ19" i="7" s="1"/>
  <c r="BR19" i="7" s="1"/>
  <c r="BS19" i="7" s="1"/>
  <c r="BT19" i="7" s="1"/>
  <c r="BU19" i="7" s="1"/>
  <c r="BV19" i="7" s="1"/>
  <c r="BW19" i="7" s="1"/>
  <c r="BX19" i="7" s="1"/>
  <c r="BY19" i="7" s="1"/>
  <c r="BZ19" i="7" s="1"/>
  <c r="CA19" i="7" s="1"/>
  <c r="CB19" i="7" s="1"/>
  <c r="CC19" i="7" s="1"/>
  <c r="CD19" i="7" s="1"/>
  <c r="CE19" i="7" s="1"/>
  <c r="CF19" i="7" s="1"/>
  <c r="CG19" i="7" s="1"/>
  <c r="CH19" i="7" s="1"/>
  <c r="CI19" i="7" s="1"/>
  <c r="CJ19" i="7" s="1"/>
  <c r="CK19" i="7" s="1"/>
  <c r="CL19" i="7" s="1"/>
  <c r="CM19" i="7" s="1"/>
  <c r="CN19" i="7" s="1"/>
  <c r="CO19" i="7" s="1"/>
  <c r="CP19" i="7" s="1"/>
  <c r="CQ19" i="7" s="1"/>
  <c r="CR19" i="7" s="1"/>
  <c r="CS19" i="7" s="1"/>
  <c r="CT19" i="7" s="1"/>
  <c r="CU19" i="7" s="1"/>
  <c r="CV19" i="7" s="1"/>
  <c r="CW19" i="7" s="1"/>
  <c r="CX19" i="7" s="1"/>
  <c r="AQ29" i="2" l="1"/>
  <c r="AS29" i="2"/>
  <c r="AT109" i="6"/>
  <c r="AS24" i="2"/>
  <c r="EA30" i="8"/>
  <c r="EA29" i="8"/>
  <c r="EA28" i="8"/>
  <c r="EA27" i="8"/>
  <c r="EA26" i="8"/>
  <c r="EB25" i="8"/>
  <c r="CE15" i="8"/>
  <c r="CF15" i="8" s="1"/>
  <c r="CG15" i="8" s="1"/>
  <c r="CH15" i="8" s="1"/>
  <c r="CI15" i="8" s="1"/>
  <c r="CJ15" i="8" s="1"/>
  <c r="CK15" i="8" s="1"/>
  <c r="AO51" i="6"/>
  <c r="AO52" i="6" s="1"/>
  <c r="AO53" i="6"/>
  <c r="AP30" i="6"/>
  <c r="AP31" i="6" s="1"/>
  <c r="AP50" i="6"/>
  <c r="C63" i="1"/>
  <c r="H63" i="1"/>
  <c r="H64" i="1"/>
  <c r="C64" i="1"/>
  <c r="E63" i="1"/>
  <c r="C19" i="4"/>
  <c r="C21" i="4" s="1"/>
  <c r="T53" i="12"/>
  <c r="O96" i="1"/>
  <c r="K96" i="1"/>
  <c r="P95" i="1"/>
  <c r="O95" i="1"/>
  <c r="N95" i="1"/>
  <c r="L95" i="1"/>
  <c r="K95" i="1"/>
  <c r="L93" i="1"/>
  <c r="K93" i="1"/>
  <c r="D55" i="6"/>
  <c r="C70" i="6"/>
  <c r="AM91" i="6"/>
  <c r="V9" i="6"/>
  <c r="V13" i="6" s="1"/>
  <c r="AE11" i="6"/>
  <c r="AE12" i="6" s="1"/>
  <c r="AF10" i="6"/>
  <c r="AE13" i="6"/>
  <c r="AC21" i="6"/>
  <c r="AM50" i="6"/>
  <c r="AK112" i="6"/>
  <c r="AL102" i="6"/>
  <c r="AK107" i="6"/>
  <c r="AK89" i="6" s="1"/>
  <c r="AL97" i="6"/>
  <c r="AK111" i="6"/>
  <c r="AL101" i="6"/>
  <c r="AL51" i="6"/>
  <c r="AL52" i="6" s="1"/>
  <c r="AH53" i="6"/>
  <c r="AI53" i="6"/>
  <c r="AK30" i="6"/>
  <c r="AK31" i="6" s="1"/>
  <c r="AK32" i="6" s="1"/>
  <c r="AK50" i="6"/>
  <c r="L11" i="4"/>
  <c r="J11" i="4"/>
  <c r="H11" i="4"/>
  <c r="F11" i="4"/>
  <c r="DK5" i="7"/>
  <c r="DK10" i="7"/>
  <c r="DK16" i="7"/>
  <c r="DK47" i="7"/>
  <c r="DK54" i="7"/>
  <c r="DM52" i="7"/>
  <c r="DL51" i="7"/>
  <c r="DL54" i="7" s="1"/>
  <c r="DL47" i="7"/>
  <c r="DM45" i="7"/>
  <c r="DL16" i="7"/>
  <c r="DM13" i="7"/>
  <c r="DL10" i="7"/>
  <c r="DM8" i="7"/>
  <c r="DL5" i="7"/>
  <c r="DM3" i="7"/>
  <c r="AL24" i="2"/>
  <c r="U53" i="12"/>
  <c r="V53" i="12"/>
  <c r="M52" i="12"/>
  <c r="K52" i="12"/>
  <c r="W53" i="12"/>
  <c r="I52" i="12"/>
  <c r="O53" i="12"/>
  <c r="X53" i="12"/>
  <c r="G52" i="12"/>
  <c r="P53" i="12"/>
  <c r="Y53" i="12"/>
  <c r="Q53" i="12"/>
  <c r="R53" i="12" s="1"/>
  <c r="Z53" i="12"/>
  <c r="AI31" i="10"/>
  <c r="AH32" i="10"/>
  <c r="AH30" i="10"/>
  <c r="AJ26" i="2"/>
  <c r="AG31" i="10"/>
  <c r="AI26" i="2"/>
  <c r="AM24" i="2"/>
  <c r="C62" i="1"/>
  <c r="H62" i="1"/>
  <c r="AH26" i="2"/>
  <c r="I3" i="7"/>
  <c r="I42" i="14"/>
  <c r="H45" i="7"/>
  <c r="D51" i="7"/>
  <c r="D54" i="7" s="1"/>
  <c r="E52" i="7"/>
  <c r="F58" i="7"/>
  <c r="G59" i="7"/>
  <c r="J33" i="14"/>
  <c r="F3" i="14"/>
  <c r="E2" i="14"/>
  <c r="I24" i="10"/>
  <c r="I30" i="10"/>
  <c r="I32" i="10"/>
  <c r="E17" i="10"/>
  <c r="F3" i="10"/>
  <c r="C94" i="6"/>
  <c r="C93" i="6"/>
  <c r="P32" i="10"/>
  <c r="P24" i="10"/>
  <c r="P30" i="10"/>
  <c r="R24" i="10"/>
  <c r="R30" i="10"/>
  <c r="R31" i="10"/>
  <c r="R32" i="10"/>
  <c r="AR24" i="2"/>
  <c r="AN24" i="2"/>
  <c r="AN29" i="2"/>
  <c r="E8" i="7"/>
  <c r="P31" i="10"/>
  <c r="AM109" i="6"/>
  <c r="AM88" i="6" s="1"/>
  <c r="AL29" i="2"/>
  <c r="AN26" i="2"/>
  <c r="D19" i="2"/>
  <c r="D14" i="2"/>
  <c r="D16" i="2"/>
  <c r="D17" i="2" s="1"/>
  <c r="Q44" i="7"/>
  <c r="P49" i="7"/>
  <c r="H73" i="1"/>
  <c r="Q30" i="10"/>
  <c r="Q31" i="10"/>
  <c r="Q32" i="10"/>
  <c r="Q24" i="10"/>
  <c r="C16" i="7"/>
  <c r="E65" i="1"/>
  <c r="AO90" i="6"/>
  <c r="AO93" i="6" s="1"/>
  <c r="BZ28" i="7"/>
  <c r="BZ27" i="7"/>
  <c r="AI30" i="6"/>
  <c r="AI31" i="6" s="1"/>
  <c r="AD30" i="6"/>
  <c r="AD31" i="6" s="1"/>
  <c r="AD32" i="6" s="1"/>
  <c r="AD35" i="6" s="1"/>
  <c r="AD50" i="6"/>
  <c r="AD53" i="6" s="1"/>
  <c r="M30" i="10"/>
  <c r="V30" i="10"/>
  <c r="W94" i="6"/>
  <c r="Y24" i="2"/>
  <c r="Y26" i="2"/>
  <c r="Z11" i="2"/>
  <c r="Z28" i="2"/>
  <c r="AA28" i="2"/>
  <c r="E64" i="1"/>
  <c r="F64" i="1" s="1"/>
  <c r="G64" i="1" s="1"/>
  <c r="I64" i="1" s="1"/>
  <c r="P102" i="1"/>
  <c r="L102" i="1"/>
  <c r="O102" i="1" s="1"/>
  <c r="S29" i="2"/>
  <c r="S24" i="2"/>
  <c r="W24" i="2"/>
  <c r="K29" i="2"/>
  <c r="K24" i="2"/>
  <c r="O24" i="2"/>
  <c r="AN90" i="6"/>
  <c r="P103" i="1"/>
  <c r="L103" i="1"/>
  <c r="L31" i="10"/>
  <c r="O30" i="10"/>
  <c r="S24" i="10"/>
  <c r="U24" i="10"/>
  <c r="W30" i="10"/>
  <c r="Z9" i="6"/>
  <c r="R29" i="2"/>
  <c r="R24" i="2"/>
  <c r="V24" i="2"/>
  <c r="J29" i="2"/>
  <c r="J24" i="2"/>
  <c r="N24" i="2"/>
  <c r="AO24" i="2"/>
  <c r="N24" i="10"/>
  <c r="U31" i="10"/>
  <c r="U9" i="6"/>
  <c r="AF30" i="10"/>
  <c r="AF31" i="10"/>
  <c r="AF32" i="10"/>
  <c r="Y29" i="2"/>
  <c r="N31" i="10"/>
  <c r="O94" i="6"/>
  <c r="U21" i="6"/>
  <c r="U26" i="6" s="1"/>
  <c r="AE32" i="10"/>
  <c r="AE30" i="10"/>
  <c r="AE31" i="10"/>
  <c r="AP90" i="6"/>
  <c r="AA107" i="6"/>
  <c r="AA89" i="6" s="1"/>
  <c r="AB107" i="6"/>
  <c r="AB89" i="6" s="1"/>
  <c r="AC107" i="6"/>
  <c r="AC89" i="6" s="1"/>
  <c r="CA27" i="7"/>
  <c r="CA28" i="7"/>
  <c r="AG30" i="6"/>
  <c r="AG31" i="6" s="1"/>
  <c r="AG32" i="6" s="1"/>
  <c r="AB9" i="6"/>
  <c r="AE33" i="6"/>
  <c r="AF33" i="6" s="1"/>
  <c r="AG33" i="6" s="1"/>
  <c r="AH33" i="6" s="1"/>
  <c r="AI33" i="6" s="1"/>
  <c r="AJ33" i="6" s="1"/>
  <c r="AK33" i="6" s="1"/>
  <c r="AL33" i="6" s="1"/>
  <c r="AM33" i="6" s="1"/>
  <c r="E4" i="2"/>
  <c r="AE50" i="6"/>
  <c r="AA112" i="6"/>
  <c r="AB112" i="6"/>
  <c r="AD112" i="6"/>
  <c r="AC112" i="6"/>
  <c r="BK15" i="7"/>
  <c r="BK6" i="7"/>
  <c r="BL6" i="7"/>
  <c r="BM6" i="7"/>
  <c r="BP15" i="7"/>
  <c r="BO4" i="7"/>
  <c r="X9" i="6"/>
  <c r="X11" i="6" s="1"/>
  <c r="X12" i="6" s="1"/>
  <c r="Z24" i="10"/>
  <c r="Y110" i="6"/>
  <c r="BW15" i="7"/>
  <c r="CB4" i="7"/>
  <c r="E67" i="1"/>
  <c r="D65" i="1"/>
  <c r="E66" i="1"/>
  <c r="F66" i="1" s="1"/>
  <c r="G66" i="1" s="1"/>
  <c r="I66" i="1" s="1"/>
  <c r="E62" i="1"/>
  <c r="C65" i="1"/>
  <c r="D67" i="1"/>
  <c r="F63" i="1"/>
  <c r="G63" i="1" s="1"/>
  <c r="I63" i="1" s="1"/>
  <c r="R5" i="12"/>
  <c r="CL8" i="8"/>
  <c r="CM8" i="8" s="1"/>
  <c r="CN8" i="8" s="1"/>
  <c r="CO8" i="8" s="1"/>
  <c r="CP8" i="8" s="1"/>
  <c r="CQ8" i="8" s="1"/>
  <c r="CR8" i="8" s="1"/>
  <c r="CS8" i="8" s="1"/>
  <c r="CT8" i="8" s="1"/>
  <c r="CU8" i="8" s="1"/>
  <c r="CV8" i="8" s="1"/>
  <c r="CW8" i="8" s="1"/>
  <c r="CX8" i="8" s="1"/>
  <c r="CY8" i="8" s="1"/>
  <c r="CZ8" i="8" s="1"/>
  <c r="DA8" i="8" s="1"/>
  <c r="DB8" i="8" s="1"/>
  <c r="DC8" i="8" s="1"/>
  <c r="DD8" i="8" s="1"/>
  <c r="DE8" i="8" s="1"/>
  <c r="DF8" i="8" s="1"/>
  <c r="DG8" i="8" s="1"/>
  <c r="CL15" i="8"/>
  <c r="CM15" i="8" s="1"/>
  <c r="CN15" i="8" s="1"/>
  <c r="CO15" i="8" s="1"/>
  <c r="CP15" i="8" s="1"/>
  <c r="CQ15" i="8" s="1"/>
  <c r="CR15" i="8" s="1"/>
  <c r="CS15" i="8" s="1"/>
  <c r="CT15" i="8" s="1"/>
  <c r="CU15" i="8" s="1"/>
  <c r="CV15" i="8" s="1"/>
  <c r="CW15" i="8" s="1"/>
  <c r="CX15" i="8" s="1"/>
  <c r="CY15" i="8" s="1"/>
  <c r="CZ15" i="8" s="1"/>
  <c r="DA15" i="8" s="1"/>
  <c r="DB15" i="8" s="1"/>
  <c r="DC15" i="8" s="1"/>
  <c r="DD15" i="8" s="1"/>
  <c r="DE15" i="8" s="1"/>
  <c r="DF15" i="8" s="1"/>
  <c r="DG15" i="8" s="1"/>
  <c r="DH15" i="8" s="1"/>
  <c r="DI15" i="8" s="1"/>
  <c r="DJ15" i="8" s="1"/>
  <c r="DK15" i="8" s="1"/>
  <c r="DL15" i="8" s="1"/>
  <c r="DM15" i="8" s="1"/>
  <c r="G6" i="12"/>
  <c r="H6" i="12"/>
  <c r="S26" i="8"/>
  <c r="T25" i="8"/>
  <c r="F7" i="1"/>
  <c r="C67" i="1"/>
  <c r="F4" i="15"/>
  <c r="E4" i="15" s="1"/>
  <c r="D4" i="15" s="1"/>
  <c r="C4" i="15" s="1"/>
  <c r="CD34" i="7"/>
  <c r="CD32" i="7"/>
  <c r="CD31" i="7"/>
  <c r="CD33" i="7"/>
  <c r="CC33" i="7"/>
  <c r="CC34" i="7"/>
  <c r="CC32" i="7"/>
  <c r="CC31" i="7"/>
  <c r="CB32" i="7"/>
  <c r="CB31" i="7"/>
  <c r="CB33" i="7"/>
  <c r="CB34" i="7"/>
  <c r="CA32" i="7"/>
  <c r="CA34" i="7"/>
  <c r="CA33" i="7"/>
  <c r="CA31" i="7"/>
  <c r="BZ33" i="7"/>
  <c r="BZ34" i="7"/>
  <c r="BZ32" i="7"/>
  <c r="BZ31" i="7"/>
  <c r="BY34" i="7"/>
  <c r="BY33" i="7"/>
  <c r="BY32" i="7"/>
  <c r="BY31" i="7"/>
  <c r="BX33" i="7"/>
  <c r="BX31" i="7"/>
  <c r="BX34" i="7"/>
  <c r="BX32" i="7"/>
  <c r="BW32" i="7"/>
  <c r="BW33" i="7"/>
  <c r="BW34" i="7"/>
  <c r="BW31" i="7"/>
  <c r="BV32" i="7"/>
  <c r="BV31" i="7"/>
  <c r="BU32" i="7"/>
  <c r="BU31" i="7"/>
  <c r="BT32" i="7"/>
  <c r="BT31" i="7"/>
  <c r="BS33" i="7"/>
  <c r="BS32" i="7"/>
  <c r="BS34" i="7"/>
  <c r="BS31" i="7"/>
  <c r="BR32" i="7"/>
  <c r="BR31" i="7"/>
  <c r="BR34" i="7"/>
  <c r="BR33" i="7"/>
  <c r="BQ34" i="7"/>
  <c r="BQ32" i="7"/>
  <c r="BQ31" i="7"/>
  <c r="BQ33" i="7"/>
  <c r="BP33" i="7"/>
  <c r="BP32" i="7"/>
  <c r="BP34" i="7"/>
  <c r="BP31" i="7"/>
  <c r="BO34" i="7"/>
  <c r="BO33" i="7"/>
  <c r="BO32" i="7"/>
  <c r="BO31" i="7"/>
  <c r="BN32" i="7"/>
  <c r="BN34" i="7"/>
  <c r="BN33" i="7"/>
  <c r="BN31" i="7"/>
  <c r="BV34" i="7"/>
  <c r="BV33" i="7"/>
  <c r="BU34" i="7"/>
  <c r="BU33" i="7"/>
  <c r="BT34" i="7"/>
  <c r="BT33" i="7"/>
  <c r="S31" i="11"/>
  <c r="R31" i="11" s="1"/>
  <c r="Q31" i="11" s="1"/>
  <c r="P31" i="11" s="1"/>
  <c r="M3" i="11"/>
  <c r="L3" i="11" s="1"/>
  <c r="L21" i="11"/>
  <c r="L19" i="11"/>
  <c r="L16" i="11"/>
  <c r="L20" i="11"/>
  <c r="L18" i="11"/>
  <c r="L15" i="11"/>
  <c r="K14" i="11"/>
  <c r="S3" i="11"/>
  <c r="I32" i="11"/>
  <c r="H31" i="11"/>
  <c r="G31" i="11" s="1"/>
  <c r="M18" i="11"/>
  <c r="M21" i="11"/>
  <c r="M19" i="11"/>
  <c r="M16" i="11"/>
  <c r="M20" i="11"/>
  <c r="M15" i="11"/>
  <c r="N21" i="11"/>
  <c r="N19" i="11"/>
  <c r="N16" i="11"/>
  <c r="N20" i="11"/>
  <c r="N18" i="11"/>
  <c r="N15" i="11"/>
  <c r="O103" i="1"/>
  <c r="N101" i="1"/>
  <c r="O101" i="1"/>
  <c r="P101" i="1"/>
  <c r="AC63" i="6"/>
  <c r="G13" i="7"/>
  <c r="E11" i="6"/>
  <c r="E12" i="6" s="1"/>
  <c r="E13" i="6"/>
  <c r="K94" i="6"/>
  <c r="N21" i="6"/>
  <c r="I21" i="6"/>
  <c r="I50" i="6" s="1"/>
  <c r="U94" i="6"/>
  <c r="X94" i="6"/>
  <c r="Y94" i="6"/>
  <c r="AH30" i="6"/>
  <c r="AH31" i="6" s="1"/>
  <c r="AH32" i="6" s="1"/>
  <c r="Q9" i="6"/>
  <c r="Q11" i="6" s="1"/>
  <c r="Q12" i="6" s="1"/>
  <c r="V21" i="6"/>
  <c r="AD107" i="6"/>
  <c r="AD89" i="6" s="1"/>
  <c r="AB63" i="6"/>
  <c r="C52" i="6"/>
  <c r="E21" i="6"/>
  <c r="E30" i="6" s="1"/>
  <c r="E31" i="6" s="1"/>
  <c r="E34" i="6" s="1"/>
  <c r="Q21" i="6"/>
  <c r="Q30" i="6" s="1"/>
  <c r="Q31" i="6" s="1"/>
  <c r="Q32" i="6" s="1"/>
  <c r="AE30" i="6"/>
  <c r="AE31" i="6" s="1"/>
  <c r="AE34" i="6" s="1"/>
  <c r="AO30" i="6"/>
  <c r="AO31" i="6" s="1"/>
  <c r="AO32" i="6" s="1"/>
  <c r="F13" i="6"/>
  <c r="F11" i="6"/>
  <c r="F12" i="6" s="1"/>
  <c r="G94" i="6"/>
  <c r="L21" i="6"/>
  <c r="L30" i="6" s="1"/>
  <c r="L31" i="6" s="1"/>
  <c r="AA21" i="6"/>
  <c r="AA26" i="6" s="1"/>
  <c r="H94" i="6"/>
  <c r="M21" i="6"/>
  <c r="M30" i="6" s="1"/>
  <c r="M31" i="6" s="1"/>
  <c r="V11" i="6"/>
  <c r="V12" i="6" s="1"/>
  <c r="Z21" i="6"/>
  <c r="Z50" i="6" s="1"/>
  <c r="AB21" i="6"/>
  <c r="AB30" i="6" s="1"/>
  <c r="AB31" i="6" s="1"/>
  <c r="AB34" i="6" s="1"/>
  <c r="G21" i="6"/>
  <c r="G24" i="6" s="1"/>
  <c r="G25" i="6" s="1"/>
  <c r="F94" i="6"/>
  <c r="S21" i="6"/>
  <c r="S50" i="6" s="1"/>
  <c r="S53" i="6" s="1"/>
  <c r="Z13" i="6"/>
  <c r="I94" i="6"/>
  <c r="R94" i="6"/>
  <c r="AA100" i="6"/>
  <c r="AB110" i="6" s="1"/>
  <c r="Z110" i="6"/>
  <c r="AC110" i="6"/>
  <c r="E15" i="6"/>
  <c r="F15" i="6" s="1"/>
  <c r="G15" i="6" s="1"/>
  <c r="H15" i="6" s="1"/>
  <c r="I15" i="6" s="1"/>
  <c r="J15" i="6" s="1"/>
  <c r="K15" i="6" s="1"/>
  <c r="L15" i="6" s="1"/>
  <c r="M15" i="6" s="1"/>
  <c r="N15" i="6" s="1"/>
  <c r="O15" i="6" s="1"/>
  <c r="P15" i="6" s="1"/>
  <c r="D63" i="6"/>
  <c r="D56" i="6"/>
  <c r="E55" i="6"/>
  <c r="E38" i="6"/>
  <c r="D46" i="6"/>
  <c r="E46" i="6" s="1"/>
  <c r="F46" i="6" s="1"/>
  <c r="G46" i="6" s="1"/>
  <c r="H46" i="6" s="1"/>
  <c r="I46" i="6" s="1"/>
  <c r="J46" i="6" s="1"/>
  <c r="K46" i="6" s="1"/>
  <c r="L46" i="6" s="1"/>
  <c r="M46" i="6" s="1"/>
  <c r="N46" i="6" s="1"/>
  <c r="O46" i="6" s="1"/>
  <c r="P46" i="6" s="1"/>
  <c r="Q46" i="6" s="1"/>
  <c r="R46" i="6" s="1"/>
  <c r="S46" i="6" s="1"/>
  <c r="T46" i="6" s="1"/>
  <c r="U46" i="6" s="1"/>
  <c r="V46" i="6" s="1"/>
  <c r="W46" i="6" s="1"/>
  <c r="X46" i="6" s="1"/>
  <c r="Y46" i="6" s="1"/>
  <c r="Z46" i="6" s="1"/>
  <c r="AA46" i="6" s="1"/>
  <c r="AB46" i="6" s="1"/>
  <c r="AC46" i="6" s="1"/>
  <c r="AD46" i="6" s="1"/>
  <c r="AE46" i="6" s="1"/>
  <c r="AF46" i="6" s="1"/>
  <c r="AG46" i="6" s="1"/>
  <c r="AH46" i="6" s="1"/>
  <c r="AI46" i="6" s="1"/>
  <c r="AJ46" i="6" s="1"/>
  <c r="AK46" i="6" s="1"/>
  <c r="AL46" i="6" s="1"/>
  <c r="AM46" i="6" s="1"/>
  <c r="AN46" i="6" s="1"/>
  <c r="AO46" i="6" s="1"/>
  <c r="AP46" i="6" s="1"/>
  <c r="F21" i="6"/>
  <c r="F24" i="6" s="1"/>
  <c r="F25" i="6" s="1"/>
  <c r="K21" i="6"/>
  <c r="K26" i="6" s="1"/>
  <c r="D93" i="6"/>
  <c r="Q94" i="6"/>
  <c r="V94" i="6"/>
  <c r="AF30" i="6"/>
  <c r="AF31" i="6" s="1"/>
  <c r="AF34" i="6" s="1"/>
  <c r="I30" i="6"/>
  <c r="I31" i="6" s="1"/>
  <c r="I34" i="6" s="1"/>
  <c r="M94" i="6"/>
  <c r="P94" i="6"/>
  <c r="S94" i="6"/>
  <c r="F28" i="6"/>
  <c r="G28" i="6" s="1"/>
  <c r="H28" i="6" s="1"/>
  <c r="I28" i="6" s="1"/>
  <c r="J28" i="6" s="1"/>
  <c r="K28" i="6" s="1"/>
  <c r="L28" i="6" s="1"/>
  <c r="M28" i="6" s="1"/>
  <c r="N28" i="6" s="1"/>
  <c r="O28" i="6" s="1"/>
  <c r="P28" i="6" s="1"/>
  <c r="F3" i="6"/>
  <c r="G3" i="6" s="1"/>
  <c r="H3" i="6" s="1"/>
  <c r="I3" i="6" s="1"/>
  <c r="J3" i="6" s="1"/>
  <c r="K3" i="6" s="1"/>
  <c r="L3" i="6" s="1"/>
  <c r="M3" i="6" s="1"/>
  <c r="N3" i="6" s="1"/>
  <c r="O3" i="6" s="1"/>
  <c r="P3" i="6" s="1"/>
  <c r="Z94" i="6"/>
  <c r="D53" i="6"/>
  <c r="AK34" i="6"/>
  <c r="E94" i="6"/>
  <c r="J94" i="6"/>
  <c r="AD100" i="6"/>
  <c r="AD11" i="6"/>
  <c r="AD12" i="6" s="1"/>
  <c r="N94" i="6"/>
  <c r="R21" i="6"/>
  <c r="R24" i="6" s="1"/>
  <c r="R25" i="6" s="1"/>
  <c r="L94" i="6"/>
  <c r="T21" i="6"/>
  <c r="T50" i="6" s="1"/>
  <c r="T53" i="6" s="1"/>
  <c r="AA63" i="6"/>
  <c r="V26" i="6"/>
  <c r="V24" i="6"/>
  <c r="V25" i="6" s="1"/>
  <c r="F30" i="6"/>
  <c r="F31" i="6" s="1"/>
  <c r="K50" i="6"/>
  <c r="K51" i="6" s="1"/>
  <c r="K52" i="6" s="1"/>
  <c r="Y50" i="6"/>
  <c r="Y53" i="6" s="1"/>
  <c r="Y24" i="6"/>
  <c r="Y25" i="6" s="1"/>
  <c r="Y26" i="6"/>
  <c r="D13" i="6"/>
  <c r="H21" i="6"/>
  <c r="H24" i="6" s="1"/>
  <c r="H25" i="6" s="1"/>
  <c r="P11" i="6"/>
  <c r="P12" i="6" s="1"/>
  <c r="G30" i="6"/>
  <c r="G31" i="6" s="1"/>
  <c r="G26" i="6"/>
  <c r="W21" i="6"/>
  <c r="W50" i="6" s="1"/>
  <c r="X21" i="6"/>
  <c r="X26" i="6" s="1"/>
  <c r="G50" i="6"/>
  <c r="G51" i="6" s="1"/>
  <c r="I53" i="6"/>
  <c r="AM30" i="6"/>
  <c r="AM31" i="6" s="1"/>
  <c r="AM32" i="6" s="1"/>
  <c r="P21" i="6"/>
  <c r="P50" i="6" s="1"/>
  <c r="C21" i="6"/>
  <c r="C30" i="6" s="1"/>
  <c r="C31" i="6" s="1"/>
  <c r="J21" i="6"/>
  <c r="J50" i="6" s="1"/>
  <c r="J53" i="6" s="1"/>
  <c r="D21" i="6"/>
  <c r="D24" i="6" s="1"/>
  <c r="D25" i="6" s="1"/>
  <c r="N11" i="6"/>
  <c r="N12" i="6" s="1"/>
  <c r="O21" i="6"/>
  <c r="O30" i="6" s="1"/>
  <c r="O31" i="6" s="1"/>
  <c r="H13" i="6"/>
  <c r="H11" i="6"/>
  <c r="H12" i="6" s="1"/>
  <c r="R26" i="6"/>
  <c r="AA11" i="6"/>
  <c r="AA12" i="6" s="1"/>
  <c r="AA13" i="6"/>
  <c r="AC50" i="6"/>
  <c r="AC51" i="6" s="1"/>
  <c r="AC30" i="6"/>
  <c r="AC31" i="6" s="1"/>
  <c r="AC34" i="6" s="1"/>
  <c r="I11" i="6"/>
  <c r="I12" i="6" s="1"/>
  <c r="I13" i="6"/>
  <c r="G11" i="6"/>
  <c r="G12" i="6" s="1"/>
  <c r="G13" i="6"/>
  <c r="L13" i="6"/>
  <c r="L11" i="6"/>
  <c r="L12" i="6" s="1"/>
  <c r="O13" i="6"/>
  <c r="O11" i="6"/>
  <c r="O12" i="6" s="1"/>
  <c r="O24" i="6"/>
  <c r="O25" i="6" s="1"/>
  <c r="S13" i="6"/>
  <c r="S11" i="6"/>
  <c r="S12" i="6" s="1"/>
  <c r="U13" i="6"/>
  <c r="U11" i="6"/>
  <c r="U12" i="6" s="1"/>
  <c r="W13" i="6"/>
  <c r="W11" i="6"/>
  <c r="W12" i="6" s="1"/>
  <c r="R13" i="6"/>
  <c r="R11" i="6"/>
  <c r="R12" i="6" s="1"/>
  <c r="AA30" i="6"/>
  <c r="AA31" i="6" s="1"/>
  <c r="AA34" i="6" s="1"/>
  <c r="H50" i="6"/>
  <c r="H53" i="6" s="1"/>
  <c r="H30" i="6"/>
  <c r="H31" i="6" s="1"/>
  <c r="H26" i="6"/>
  <c r="N26" i="6"/>
  <c r="N24" i="6"/>
  <c r="N25" i="6" s="1"/>
  <c r="N30" i="6"/>
  <c r="N31" i="6" s="1"/>
  <c r="N32" i="6" s="1"/>
  <c r="AB13" i="6"/>
  <c r="AB11" i="6"/>
  <c r="AB12" i="6" s="1"/>
  <c r="AC11" i="6"/>
  <c r="AC12" i="6" s="1"/>
  <c r="AC13" i="6"/>
  <c r="C11" i="6"/>
  <c r="C12" i="6" s="1"/>
  <c r="C13" i="6"/>
  <c r="Y11" i="6"/>
  <c r="Y12" i="6" s="1"/>
  <c r="Y13" i="6"/>
  <c r="K11" i="6"/>
  <c r="K12" i="6" s="1"/>
  <c r="K13" i="6"/>
  <c r="M13" i="6"/>
  <c r="M11" i="6"/>
  <c r="M12" i="6" s="1"/>
  <c r="T26" i="6"/>
  <c r="I51" i="6"/>
  <c r="I52" i="6" s="1"/>
  <c r="J11" i="6"/>
  <c r="J12" i="6" s="1"/>
  <c r="J13" i="6"/>
  <c r="V30" i="6"/>
  <c r="V31" i="6" s="1"/>
  <c r="V34" i="6" s="1"/>
  <c r="AJ30" i="6"/>
  <c r="AJ31" i="6" s="1"/>
  <c r="AJ34" i="6" s="1"/>
  <c r="I24" i="6"/>
  <c r="I25" i="6" s="1"/>
  <c r="D51" i="6"/>
  <c r="D52" i="6" s="1"/>
  <c r="M26" i="6"/>
  <c r="M24" i="6"/>
  <c r="M25" i="6" s="1"/>
  <c r="E24" i="6"/>
  <c r="E25" i="6" s="1"/>
  <c r="T11" i="6"/>
  <c r="T12" i="6" s="1"/>
  <c r="Z26" i="6"/>
  <c r="AO94" i="6"/>
  <c r="AO34" i="6"/>
  <c r="AI34" i="6"/>
  <c r="AI32" i="6"/>
  <c r="AJ32" i="6"/>
  <c r="AP34" i="6"/>
  <c r="AP32" i="6"/>
  <c r="AL32" i="6"/>
  <c r="AL34" i="6"/>
  <c r="AK36" i="6"/>
  <c r="AK35" i="6"/>
  <c r="AI65" i="6"/>
  <c r="AN32" i="6"/>
  <c r="AN34" i="6"/>
  <c r="P53" i="6"/>
  <c r="P51" i="6"/>
  <c r="P52" i="6" s="1"/>
  <c r="Y51" i="6"/>
  <c r="Y52" i="6" s="1"/>
  <c r="M34" i="6"/>
  <c r="M32" i="6"/>
  <c r="L34" i="6"/>
  <c r="L32" i="6"/>
  <c r="Z53" i="6"/>
  <c r="Z51" i="6"/>
  <c r="Z52" i="6" s="1"/>
  <c r="AB32" i="6"/>
  <c r="L24" i="6"/>
  <c r="L25" i="6" s="1"/>
  <c r="Y30" i="6"/>
  <c r="Y31" i="6" s="1"/>
  <c r="V50" i="6"/>
  <c r="N50" i="6"/>
  <c r="U50" i="6"/>
  <c r="M50" i="6"/>
  <c r="U30" i="6"/>
  <c r="U31" i="6" s="1"/>
  <c r="Z30" i="6"/>
  <c r="Z31" i="6" s="1"/>
  <c r="L50" i="6"/>
  <c r="P26" i="6"/>
  <c r="Q26" i="6"/>
  <c r="U24" i="6"/>
  <c r="U25" i="6" s="1"/>
  <c r="Z24" i="6"/>
  <c r="Z25" i="6" s="1"/>
  <c r="P24" i="6"/>
  <c r="P25" i="6" s="1"/>
  <c r="AC32" i="6"/>
  <c r="Q50" i="6"/>
  <c r="L26" i="6"/>
  <c r="AD13" i="6"/>
  <c r="BW38" i="7"/>
  <c r="BX38" i="7"/>
  <c r="L11" i="12"/>
  <c r="L45" i="11"/>
  <c r="K45" i="11" s="1"/>
  <c r="M52" i="11"/>
  <c r="M53" i="11"/>
  <c r="N52" i="11"/>
  <c r="N53" i="11"/>
  <c r="E73" i="1"/>
  <c r="AD31" i="10"/>
  <c r="AD30" i="10"/>
  <c r="C18" i="1"/>
  <c r="EB30" i="8" l="1"/>
  <c r="EB29" i="8"/>
  <c r="EB28" i="8"/>
  <c r="EB27" i="8"/>
  <c r="EB26" i="8"/>
  <c r="EC25" i="8"/>
  <c r="DH8" i="8"/>
  <c r="AP53" i="6"/>
  <c r="N93" i="1" s="1"/>
  <c r="AP51" i="6"/>
  <c r="AP52" i="6" s="1"/>
  <c r="F62" i="1"/>
  <c r="G62" i="1" s="1"/>
  <c r="I62" i="1" s="1"/>
  <c r="AN93" i="6"/>
  <c r="P96" i="1" s="1"/>
  <c r="L96" i="1"/>
  <c r="AI68" i="6"/>
  <c r="AI66" i="6"/>
  <c r="AI67" i="6" s="1"/>
  <c r="D70" i="6"/>
  <c r="E70" i="6" s="1"/>
  <c r="F70" i="6" s="1"/>
  <c r="G70" i="6" s="1"/>
  <c r="H70" i="6" s="1"/>
  <c r="I70" i="6" s="1"/>
  <c r="J70" i="6" s="1"/>
  <c r="K70" i="6" s="1"/>
  <c r="L70" i="6" s="1"/>
  <c r="M70" i="6" s="1"/>
  <c r="N70" i="6" s="1"/>
  <c r="O70" i="6" s="1"/>
  <c r="P70" i="6" s="1"/>
  <c r="Q70" i="6" s="1"/>
  <c r="R70" i="6" s="1"/>
  <c r="S70" i="6" s="1"/>
  <c r="T70" i="6" s="1"/>
  <c r="U70" i="6" s="1"/>
  <c r="V70" i="6" s="1"/>
  <c r="W70" i="6" s="1"/>
  <c r="X70" i="6" s="1"/>
  <c r="Y70" i="6" s="1"/>
  <c r="Z70" i="6" s="1"/>
  <c r="AA70" i="6" s="1"/>
  <c r="AB70" i="6" s="1"/>
  <c r="AC70" i="6" s="1"/>
  <c r="AD70" i="6" s="1"/>
  <c r="AE70" i="6" s="1"/>
  <c r="AF70" i="6" s="1"/>
  <c r="AG70" i="6" s="1"/>
  <c r="AH70" i="6" s="1"/>
  <c r="AI70" i="6" s="1"/>
  <c r="AJ70" i="6" s="1"/>
  <c r="AK70" i="6" s="1"/>
  <c r="AL70" i="6" s="1"/>
  <c r="AM70" i="6" s="1"/>
  <c r="AN70" i="6" s="1"/>
  <c r="AO70" i="6" s="1"/>
  <c r="AP70" i="6" s="1"/>
  <c r="C79" i="6"/>
  <c r="AP94" i="6"/>
  <c r="AP93" i="6"/>
  <c r="AM92" i="6"/>
  <c r="AL111" i="6"/>
  <c r="AM101" i="6"/>
  <c r="AL107" i="6"/>
  <c r="AL89" i="6" s="1"/>
  <c r="AM97" i="6"/>
  <c r="AL112" i="6"/>
  <c r="AM102" i="6"/>
  <c r="AM53" i="6"/>
  <c r="AM51" i="6"/>
  <c r="AG10" i="6"/>
  <c r="AF11" i="6"/>
  <c r="AF12" i="6" s="1"/>
  <c r="AF13" i="6"/>
  <c r="AN94" i="6"/>
  <c r="N96" i="1" s="1"/>
  <c r="AK51" i="6"/>
  <c r="AK52" i="6" s="1"/>
  <c r="AK53" i="6"/>
  <c r="DN3" i="7"/>
  <c r="DN8" i="7"/>
  <c r="DN13" i="7"/>
  <c r="DN45" i="7"/>
  <c r="DN52" i="7"/>
  <c r="DM51" i="7"/>
  <c r="AH34" i="6"/>
  <c r="N102" i="1"/>
  <c r="F65" i="1"/>
  <c r="G65" i="1" s="1"/>
  <c r="I65" i="1" s="1"/>
  <c r="H32" i="11"/>
  <c r="AF32" i="6"/>
  <c r="T30" i="6"/>
  <c r="T31" i="6" s="1"/>
  <c r="T32" i="6" s="1"/>
  <c r="AG34" i="6"/>
  <c r="X13" i="6"/>
  <c r="E32" i="6"/>
  <c r="AD36" i="6"/>
  <c r="K30" i="6"/>
  <c r="K31" i="6" s="1"/>
  <c r="R30" i="6"/>
  <c r="R31" i="6" s="1"/>
  <c r="S26" i="6"/>
  <c r="T24" i="6"/>
  <c r="T25" i="6" s="1"/>
  <c r="K24" i="6"/>
  <c r="K25" i="6" s="1"/>
  <c r="CB15" i="7"/>
  <c r="CA4" i="7"/>
  <c r="CA15" i="7" s="1"/>
  <c r="BZ4" i="7"/>
  <c r="R44" i="7"/>
  <c r="Q49" i="7"/>
  <c r="F8" i="7"/>
  <c r="F52" i="7"/>
  <c r="E51" i="7"/>
  <c r="E47" i="7" s="1"/>
  <c r="E54" i="7"/>
  <c r="AE51" i="6"/>
  <c r="AE52" i="6" s="1"/>
  <c r="AE53" i="6"/>
  <c r="D47" i="7"/>
  <c r="E5" i="7"/>
  <c r="D5" i="7"/>
  <c r="K33" i="14"/>
  <c r="I45" i="7"/>
  <c r="Q34" i="6"/>
  <c r="AA50" i="6"/>
  <c r="AA53" i="6" s="1"/>
  <c r="F26" i="6"/>
  <c r="I26" i="6"/>
  <c r="BO15" i="7"/>
  <c r="BN4" i="7"/>
  <c r="AB99" i="6"/>
  <c r="AA29" i="2"/>
  <c r="AB109" i="6"/>
  <c r="E16" i="7"/>
  <c r="D20" i="2"/>
  <c r="F4" i="2"/>
  <c r="E3" i="2"/>
  <c r="E13" i="2"/>
  <c r="E22" i="2" s="1"/>
  <c r="Z29" i="2"/>
  <c r="AA109" i="6"/>
  <c r="D16" i="7"/>
  <c r="H59" i="7"/>
  <c r="G58" i="7"/>
  <c r="J42" i="14"/>
  <c r="J3" i="7"/>
  <c r="AD51" i="6"/>
  <c r="AD52" i="6" s="1"/>
  <c r="E26" i="6"/>
  <c r="AD34" i="6"/>
  <c r="R50" i="6"/>
  <c r="Q13" i="6"/>
  <c r="E40" i="6"/>
  <c r="AE100" i="6"/>
  <c r="F50" i="6"/>
  <c r="Q24" i="6"/>
  <c r="Q25" i="6" s="1"/>
  <c r="AA32" i="6"/>
  <c r="E50" i="6"/>
  <c r="E53" i="6" s="1"/>
  <c r="AM90" i="6"/>
  <c r="AM93" i="6" s="1"/>
  <c r="G3" i="10"/>
  <c r="F17" i="10"/>
  <c r="G3" i="14"/>
  <c r="F2" i="14"/>
  <c r="D10" i="7"/>
  <c r="F67" i="1"/>
  <c r="G67" i="1" s="1"/>
  <c r="I67" i="1" s="1"/>
  <c r="U25" i="8"/>
  <c r="T26" i="8"/>
  <c r="N103" i="1"/>
  <c r="AE32" i="6"/>
  <c r="AE36" i="6" s="1"/>
  <c r="L17" i="11"/>
  <c r="L23" i="11" s="1"/>
  <c r="R32" i="11"/>
  <c r="Q32" i="11"/>
  <c r="R3" i="11"/>
  <c r="K3" i="11"/>
  <c r="K18" i="11"/>
  <c r="K15" i="11"/>
  <c r="K21" i="11"/>
  <c r="K19" i="11"/>
  <c r="K16" i="11"/>
  <c r="K20" i="11"/>
  <c r="J14" i="11"/>
  <c r="M17" i="11"/>
  <c r="N17" i="11"/>
  <c r="G32" i="11"/>
  <c r="F31" i="11"/>
  <c r="H13" i="7"/>
  <c r="G52" i="6"/>
  <c r="D30" i="6"/>
  <c r="D31" i="6" s="1"/>
  <c r="T34" i="6"/>
  <c r="T51" i="6"/>
  <c r="T52" i="6" s="1"/>
  <c r="W24" i="6"/>
  <c r="W25" i="6" s="1"/>
  <c r="AA24" i="6"/>
  <c r="AA25" i="6" s="1"/>
  <c r="Z11" i="6"/>
  <c r="Z12" i="6" s="1"/>
  <c r="AB50" i="6"/>
  <c r="AB53" i="6" s="1"/>
  <c r="V32" i="6"/>
  <c r="S24" i="6"/>
  <c r="S25" i="6" s="1"/>
  <c r="S30" i="6"/>
  <c r="S31" i="6" s="1"/>
  <c r="S32" i="6" s="1"/>
  <c r="S36" i="6" s="1"/>
  <c r="J26" i="6"/>
  <c r="J24" i="6"/>
  <c r="J25" i="6" s="1"/>
  <c r="N34" i="6"/>
  <c r="X50" i="6"/>
  <c r="J30" i="6"/>
  <c r="J31" i="6" s="1"/>
  <c r="C24" i="6"/>
  <c r="C25" i="6" s="1"/>
  <c r="E63" i="6"/>
  <c r="F55" i="6"/>
  <c r="W30" i="6"/>
  <c r="W31" i="6" s="1"/>
  <c r="W34" i="6" s="1"/>
  <c r="S51" i="6"/>
  <c r="S52" i="6" s="1"/>
  <c r="K53" i="6"/>
  <c r="AA110" i="6"/>
  <c r="AA113" i="6" s="1"/>
  <c r="AA88" i="6" s="1"/>
  <c r="X30" i="6"/>
  <c r="X31" i="6" s="1"/>
  <c r="X34" i="6" s="1"/>
  <c r="I32" i="6"/>
  <c r="I35" i="6" s="1"/>
  <c r="Q3" i="6"/>
  <c r="F38" i="6"/>
  <c r="Q28" i="6"/>
  <c r="R28" i="6" s="1"/>
  <c r="S28" i="6" s="1"/>
  <c r="T28" i="6" s="1"/>
  <c r="U28" i="6" s="1"/>
  <c r="V28" i="6" s="1"/>
  <c r="AD110" i="6"/>
  <c r="C26" i="6"/>
  <c r="AB113" i="6"/>
  <c r="AB88" i="6" s="1"/>
  <c r="Q15" i="6"/>
  <c r="W51" i="6"/>
  <c r="W52" i="6" s="1"/>
  <c r="W53" i="6"/>
  <c r="F32" i="6"/>
  <c r="F35" i="6" s="1"/>
  <c r="F34" i="6"/>
  <c r="O32" i="6"/>
  <c r="O36" i="6" s="1"/>
  <c r="O34" i="6"/>
  <c r="G34" i="6"/>
  <c r="G32" i="6"/>
  <c r="G36" i="6" s="1"/>
  <c r="C34" i="6"/>
  <c r="C32" i="6"/>
  <c r="C35" i="6" s="1"/>
  <c r="AM34" i="6"/>
  <c r="W26" i="6"/>
  <c r="D26" i="6"/>
  <c r="O50" i="6"/>
  <c r="O53" i="6" s="1"/>
  <c r="G53" i="6"/>
  <c r="P30" i="6"/>
  <c r="P31" i="6" s="1"/>
  <c r="P34" i="6" s="1"/>
  <c r="X24" i="6"/>
  <c r="X25" i="6" s="1"/>
  <c r="O26" i="6"/>
  <c r="D34" i="6"/>
  <c r="D32" i="6"/>
  <c r="C36" i="6"/>
  <c r="C46" i="6" s="1"/>
  <c r="E51" i="6"/>
  <c r="E52" i="6" s="1"/>
  <c r="AC53" i="6"/>
  <c r="H32" i="6"/>
  <c r="H34" i="6"/>
  <c r="AC52" i="6"/>
  <c r="H51" i="6"/>
  <c r="H52" i="6" s="1"/>
  <c r="E36" i="6"/>
  <c r="E35" i="6"/>
  <c r="J32" i="6"/>
  <c r="J34" i="6"/>
  <c r="AA51" i="6"/>
  <c r="AA52" i="6" s="1"/>
  <c r="J51" i="6"/>
  <c r="J52" i="6" s="1"/>
  <c r="AG35" i="6"/>
  <c r="AG36" i="6"/>
  <c r="AL36" i="6"/>
  <c r="AL35" i="6"/>
  <c r="AP35" i="6"/>
  <c r="AP36" i="6"/>
  <c r="AO35" i="6"/>
  <c r="AO36" i="6"/>
  <c r="AH35" i="6"/>
  <c r="AH36" i="6"/>
  <c r="AN35" i="6"/>
  <c r="AN36" i="6"/>
  <c r="AM35" i="6"/>
  <c r="AM36" i="6"/>
  <c r="AF35" i="6"/>
  <c r="AF36" i="6"/>
  <c r="AJ65" i="6"/>
  <c r="AJ36" i="6"/>
  <c r="AJ35" i="6"/>
  <c r="AI36" i="6"/>
  <c r="AI35" i="6"/>
  <c r="U53" i="6"/>
  <c r="U51" i="6"/>
  <c r="U52" i="6" s="1"/>
  <c r="M35" i="6"/>
  <c r="M36" i="6"/>
  <c r="Q53" i="6"/>
  <c r="Q51" i="6"/>
  <c r="Q52" i="6" s="1"/>
  <c r="AB36" i="6"/>
  <c r="AB35" i="6"/>
  <c r="V35" i="6"/>
  <c r="V36" i="6"/>
  <c r="L35" i="6"/>
  <c r="L36" i="6"/>
  <c r="AC35" i="6"/>
  <c r="AC36" i="6"/>
  <c r="L53" i="6"/>
  <c r="L51" i="6"/>
  <c r="L52" i="6" s="1"/>
  <c r="AA36" i="6"/>
  <c r="AA35" i="6"/>
  <c r="X32" i="6"/>
  <c r="AB51" i="6"/>
  <c r="AB52" i="6" s="1"/>
  <c r="N53" i="6"/>
  <c r="N51" i="6"/>
  <c r="N52" i="6" s="1"/>
  <c r="Z34" i="6"/>
  <c r="Z32" i="6"/>
  <c r="V53" i="6"/>
  <c r="V51" i="6"/>
  <c r="V52" i="6" s="1"/>
  <c r="T36" i="6"/>
  <c r="T35" i="6"/>
  <c r="U32" i="6"/>
  <c r="U34" i="6"/>
  <c r="N36" i="6"/>
  <c r="N35" i="6"/>
  <c r="R34" i="6"/>
  <c r="R32" i="6"/>
  <c r="M53" i="6"/>
  <c r="M51" i="6"/>
  <c r="M52" i="6" s="1"/>
  <c r="Y34" i="6"/>
  <c r="Y32" i="6"/>
  <c r="Q35" i="6"/>
  <c r="Q36" i="6"/>
  <c r="K11" i="12"/>
  <c r="K53" i="11"/>
  <c r="K51" i="11"/>
  <c r="K48" i="11"/>
  <c r="K52" i="11"/>
  <c r="K50" i="11"/>
  <c r="K46" i="11"/>
  <c r="L51" i="11"/>
  <c r="L52" i="11"/>
  <c r="L50" i="11"/>
  <c r="L46" i="11"/>
  <c r="L53" i="11"/>
  <c r="L48" i="11"/>
  <c r="D73" i="1"/>
  <c r="J45" i="11"/>
  <c r="EC30" i="8" l="1"/>
  <c r="EC29" i="8"/>
  <c r="EC28" i="8"/>
  <c r="EC27" i="8"/>
  <c r="EC26" i="8"/>
  <c r="ED25" i="8"/>
  <c r="DI8" i="8"/>
  <c r="DJ8" i="8" s="1"/>
  <c r="DK8" i="8" s="1"/>
  <c r="DL8" i="8" s="1"/>
  <c r="M50" i="11"/>
  <c r="M46" i="11"/>
  <c r="M48" i="11"/>
  <c r="M51" i="11"/>
  <c r="N51" i="11"/>
  <c r="N48" i="11"/>
  <c r="N50" i="11"/>
  <c r="N46" i="11"/>
  <c r="AM52" i="6"/>
  <c r="P93" i="1" s="1"/>
  <c r="O93" i="1"/>
  <c r="AJ68" i="6"/>
  <c r="AJ66" i="6"/>
  <c r="AJ67" i="6" s="1"/>
  <c r="D79" i="6"/>
  <c r="E79" i="6" s="1"/>
  <c r="F79" i="6" s="1"/>
  <c r="G79" i="6" s="1"/>
  <c r="H79" i="6" s="1"/>
  <c r="I79" i="6" s="1"/>
  <c r="J79" i="6" s="1"/>
  <c r="K79" i="6" s="1"/>
  <c r="L79" i="6" s="1"/>
  <c r="M79" i="6" s="1"/>
  <c r="N79" i="6" s="1"/>
  <c r="O79" i="6" s="1"/>
  <c r="P79" i="6" s="1"/>
  <c r="Q79" i="6" s="1"/>
  <c r="R79" i="6" s="1"/>
  <c r="S79" i="6" s="1"/>
  <c r="T79" i="6" s="1"/>
  <c r="U79" i="6" s="1"/>
  <c r="V79" i="6" s="1"/>
  <c r="W79" i="6" s="1"/>
  <c r="X79" i="6" s="1"/>
  <c r="Y79" i="6" s="1"/>
  <c r="Z79" i="6" s="1"/>
  <c r="AA79" i="6" s="1"/>
  <c r="AB79" i="6" s="1"/>
  <c r="AC79" i="6" s="1"/>
  <c r="AD79" i="6" s="1"/>
  <c r="AE79" i="6" s="1"/>
  <c r="AF79" i="6" s="1"/>
  <c r="AG79" i="6" s="1"/>
  <c r="AH79" i="6" s="1"/>
  <c r="AI79" i="6" s="1"/>
  <c r="AJ79" i="6" s="1"/>
  <c r="AK79" i="6" s="1"/>
  <c r="AL79" i="6" s="1"/>
  <c r="AM79" i="6" s="1"/>
  <c r="AN79" i="6" s="1"/>
  <c r="AO79" i="6" s="1"/>
  <c r="AP79" i="6" s="1"/>
  <c r="C87" i="6"/>
  <c r="AF100" i="6"/>
  <c r="AH10" i="6"/>
  <c r="AG13" i="6"/>
  <c r="AG11" i="6"/>
  <c r="AG12" i="6" s="1"/>
  <c r="DM5" i="7"/>
  <c r="DM10" i="7"/>
  <c r="DM16" i="7"/>
  <c r="DM47" i="7"/>
  <c r="DM54" i="7"/>
  <c r="DO52" i="7"/>
  <c r="DN51" i="7"/>
  <c r="DN54" i="7" s="1"/>
  <c r="DN47" i="7"/>
  <c r="DO45" i="7"/>
  <c r="DN16" i="7"/>
  <c r="DO13" i="7"/>
  <c r="DN10" i="7"/>
  <c r="DO8" i="7"/>
  <c r="DN5" i="7"/>
  <c r="DO3" i="7"/>
  <c r="K42" i="14"/>
  <c r="H58" i="7"/>
  <c r="I59" i="7"/>
  <c r="S35" i="6"/>
  <c r="F40" i="6"/>
  <c r="AM94" i="6"/>
  <c r="E10" i="7"/>
  <c r="AE110" i="6"/>
  <c r="BP6" i="7"/>
  <c r="BS4" i="7"/>
  <c r="BO6" i="7"/>
  <c r="BN6" i="7"/>
  <c r="BN15" i="7"/>
  <c r="G8" i="7"/>
  <c r="G52" i="7"/>
  <c r="F51" i="7"/>
  <c r="S34" i="6"/>
  <c r="H3" i="14"/>
  <c r="G2" i="14"/>
  <c r="F51" i="6"/>
  <c r="F52" i="6" s="1"/>
  <c r="F53" i="6"/>
  <c r="K3" i="7"/>
  <c r="J45" i="7"/>
  <c r="L33" i="14"/>
  <c r="AF110" i="6"/>
  <c r="I36" i="6"/>
  <c r="R53" i="6"/>
  <c r="R51" i="6"/>
  <c r="R52" i="6" s="1"/>
  <c r="E18" i="2"/>
  <c r="E16" i="2"/>
  <c r="E17" i="2" s="1"/>
  <c r="E14" i="2"/>
  <c r="E19" i="2"/>
  <c r="R49" i="7"/>
  <c r="S44" i="7"/>
  <c r="W28" i="6"/>
  <c r="X28" i="6" s="1"/>
  <c r="Y28" i="6" s="1"/>
  <c r="Z28" i="6" s="1"/>
  <c r="AA28" i="6" s="1"/>
  <c r="AB28" i="6" s="1"/>
  <c r="AC28" i="6" s="1"/>
  <c r="AD28" i="6" s="1"/>
  <c r="AE28" i="6" s="1"/>
  <c r="AF28" i="6" s="1"/>
  <c r="AG28" i="6" s="1"/>
  <c r="AH28" i="6" s="1"/>
  <c r="AI28" i="6" s="1"/>
  <c r="AJ28" i="6" s="1"/>
  <c r="AK28" i="6" s="1"/>
  <c r="AL28" i="6" s="1"/>
  <c r="AM28" i="6" s="1"/>
  <c r="AN28" i="6" s="1"/>
  <c r="AO28" i="6" s="1"/>
  <c r="AP28" i="6" s="1"/>
  <c r="G17" i="10"/>
  <c r="H3" i="10"/>
  <c r="F13" i="2"/>
  <c r="F22" i="2" s="1"/>
  <c r="G4" i="2"/>
  <c r="F3" i="2"/>
  <c r="BZ15" i="7"/>
  <c r="CE4" i="7"/>
  <c r="K32" i="6"/>
  <c r="K34" i="6"/>
  <c r="U30" i="8"/>
  <c r="V25" i="8"/>
  <c r="U26" i="8"/>
  <c r="AE35" i="6"/>
  <c r="P92" i="1" s="1"/>
  <c r="L22" i="11"/>
  <c r="L37" i="11" s="1"/>
  <c r="M22" i="11"/>
  <c r="M37" i="11" s="1"/>
  <c r="M23" i="11"/>
  <c r="L28" i="11"/>
  <c r="L27" i="11"/>
  <c r="L24" i="11"/>
  <c r="L25" i="11"/>
  <c r="J3" i="11"/>
  <c r="J20" i="11"/>
  <c r="J18" i="11"/>
  <c r="J15" i="11"/>
  <c r="J21" i="11"/>
  <c r="J19" i="11"/>
  <c r="J16" i="11"/>
  <c r="I14" i="11"/>
  <c r="E31" i="11"/>
  <c r="N22" i="11"/>
  <c r="N37" i="11" s="1"/>
  <c r="N23" i="11"/>
  <c r="L26" i="11"/>
  <c r="K17" i="11"/>
  <c r="Q3" i="11"/>
  <c r="I13" i="7"/>
  <c r="O92" i="1"/>
  <c r="F36" i="6"/>
  <c r="N92" i="1"/>
  <c r="L92" i="1"/>
  <c r="AA92" i="6"/>
  <c r="AA90" i="6"/>
  <c r="R15" i="6"/>
  <c r="G38" i="6"/>
  <c r="K92" i="1"/>
  <c r="F63" i="6"/>
  <c r="G55" i="6"/>
  <c r="AB90" i="6"/>
  <c r="AB92" i="6"/>
  <c r="W32" i="6"/>
  <c r="W36" i="6" s="1"/>
  <c r="R3" i="6"/>
  <c r="S3" i="6" s="1"/>
  <c r="T3" i="6" s="1"/>
  <c r="U3" i="6" s="1"/>
  <c r="V3" i="6" s="1"/>
  <c r="G35" i="6"/>
  <c r="X53" i="6"/>
  <c r="X51" i="6"/>
  <c r="X52" i="6" s="1"/>
  <c r="O35" i="6"/>
  <c r="O51" i="6"/>
  <c r="O52" i="6" s="1"/>
  <c r="P32" i="6"/>
  <c r="P36" i="6" s="1"/>
  <c r="H36" i="6"/>
  <c r="H35" i="6"/>
  <c r="J36" i="6"/>
  <c r="J35" i="6"/>
  <c r="D35" i="6"/>
  <c r="D36" i="6"/>
  <c r="AK65" i="6"/>
  <c r="Y35" i="6"/>
  <c r="Y36" i="6"/>
  <c r="U36" i="6"/>
  <c r="U35" i="6"/>
  <c r="Z36" i="6"/>
  <c r="Z35" i="6"/>
  <c r="X36" i="6"/>
  <c r="X35" i="6"/>
  <c r="R35" i="6"/>
  <c r="R36" i="6"/>
  <c r="CX38" i="7"/>
  <c r="CW38" i="7"/>
  <c r="BO38" i="7"/>
  <c r="P32" i="11"/>
  <c r="L47" i="11"/>
  <c r="J11" i="12"/>
  <c r="J53" i="11"/>
  <c r="J51" i="11"/>
  <c r="J48" i="11"/>
  <c r="J52" i="11"/>
  <c r="J50" i="11"/>
  <c r="J46" i="11"/>
  <c r="C73" i="1"/>
  <c r="K47" i="11"/>
  <c r="I45" i="11"/>
  <c r="N47" i="11" l="1"/>
  <c r="M47" i="11"/>
  <c r="ED30" i="8"/>
  <c r="ED29" i="8"/>
  <c r="ED28" i="8"/>
  <c r="ED27" i="8"/>
  <c r="ED26" i="8"/>
  <c r="EE25" i="8"/>
  <c r="DM8" i="8"/>
  <c r="F5" i="1"/>
  <c r="F6" i="12"/>
  <c r="AK68" i="6"/>
  <c r="AK66" i="6"/>
  <c r="AK67" i="6" s="1"/>
  <c r="D87" i="6"/>
  <c r="E87" i="6" s="1"/>
  <c r="F87" i="6" s="1"/>
  <c r="G87" i="6" s="1"/>
  <c r="H87" i="6" s="1"/>
  <c r="I87" i="6" s="1"/>
  <c r="J87" i="6" s="1"/>
  <c r="K87" i="6" s="1"/>
  <c r="L87" i="6" s="1"/>
  <c r="M87" i="6" s="1"/>
  <c r="N87" i="6" s="1"/>
  <c r="O87" i="6" s="1"/>
  <c r="P87" i="6" s="1"/>
  <c r="Q87" i="6" s="1"/>
  <c r="R87" i="6" s="1"/>
  <c r="S87" i="6" s="1"/>
  <c r="T87" i="6" s="1"/>
  <c r="U87" i="6" s="1"/>
  <c r="V87" i="6" s="1"/>
  <c r="W87" i="6" s="1"/>
  <c r="X87" i="6" s="1"/>
  <c r="Y87" i="6" s="1"/>
  <c r="Z87" i="6" s="1"/>
  <c r="AA87" i="6" s="1"/>
  <c r="AB87" i="6" s="1"/>
  <c r="AC87" i="6" s="1"/>
  <c r="AD87" i="6" s="1"/>
  <c r="AE87" i="6" s="1"/>
  <c r="AF87" i="6" s="1"/>
  <c r="AG87" i="6" s="1"/>
  <c r="AH87" i="6" s="1"/>
  <c r="AI87" i="6" s="1"/>
  <c r="AJ87" i="6" s="1"/>
  <c r="AK87" i="6" s="1"/>
  <c r="AL87" i="6" s="1"/>
  <c r="AM87" i="6" s="1"/>
  <c r="AN87" i="6" s="1"/>
  <c r="AO87" i="6" s="1"/>
  <c r="AP87" i="6" s="1"/>
  <c r="AI10" i="6"/>
  <c r="AH11" i="6"/>
  <c r="AH12" i="6" s="1"/>
  <c r="AH13" i="6"/>
  <c r="AG100" i="6"/>
  <c r="DP3" i="7"/>
  <c r="DP8" i="7"/>
  <c r="DP13" i="7"/>
  <c r="DP45" i="7"/>
  <c r="DP52" i="7"/>
  <c r="DO51" i="7"/>
  <c r="G40" i="6"/>
  <c r="T44" i="7"/>
  <c r="S49" i="7"/>
  <c r="K45" i="7"/>
  <c r="H8" i="7"/>
  <c r="E41" i="6"/>
  <c r="E42" i="6" s="1"/>
  <c r="E43" i="6" s="1"/>
  <c r="E39" i="6"/>
  <c r="E44" i="6" s="1"/>
  <c r="F54" i="7"/>
  <c r="F10" i="7"/>
  <c r="H46" i="14"/>
  <c r="J59" i="7"/>
  <c r="I58" i="7"/>
  <c r="G13" i="2"/>
  <c r="G22" i="2" s="1"/>
  <c r="H4" i="2"/>
  <c r="G3" i="2"/>
  <c r="E20" i="2"/>
  <c r="H17" i="10"/>
  <c r="I3" i="10"/>
  <c r="M33" i="14"/>
  <c r="H2" i="14"/>
  <c r="I3" i="14"/>
  <c r="H47" i="14"/>
  <c r="W3" i="6"/>
  <c r="X3" i="6" s="1"/>
  <c r="F47" i="7"/>
  <c r="F5" i="7"/>
  <c r="F16" i="7"/>
  <c r="K36" i="6"/>
  <c r="K35" i="6"/>
  <c r="L3" i="7"/>
  <c r="L42" i="14"/>
  <c r="F19" i="2"/>
  <c r="F16" i="2"/>
  <c r="F14" i="2"/>
  <c r="F18" i="2"/>
  <c r="H52" i="7"/>
  <c r="G51" i="7"/>
  <c r="CE15" i="7"/>
  <c r="CD4" i="7"/>
  <c r="CC4" i="7"/>
  <c r="E56" i="6"/>
  <c r="BS38" i="7"/>
  <c r="BR4" i="7"/>
  <c r="BS15" i="7"/>
  <c r="V28" i="8"/>
  <c r="V30" i="8"/>
  <c r="V26" i="8"/>
  <c r="W25" i="8"/>
  <c r="V27" i="8"/>
  <c r="P3" i="11"/>
  <c r="J17" i="11"/>
  <c r="E32" i="11"/>
  <c r="D31" i="11"/>
  <c r="K23" i="11"/>
  <c r="K22" i="11"/>
  <c r="K37" i="11" s="1"/>
  <c r="I20" i="11"/>
  <c r="I18" i="11"/>
  <c r="I15" i="11"/>
  <c r="I21" i="11"/>
  <c r="I16" i="11"/>
  <c r="I19" i="11"/>
  <c r="H14" i="11"/>
  <c r="I3" i="11"/>
  <c r="M24" i="11"/>
  <c r="M27" i="11"/>
  <c r="M25" i="11"/>
  <c r="M28" i="11"/>
  <c r="M26" i="11"/>
  <c r="N27" i="11"/>
  <c r="N24" i="11"/>
  <c r="N28" i="11"/>
  <c r="N26" i="11"/>
  <c r="N25" i="11"/>
  <c r="J13" i="7"/>
  <c r="W35" i="6"/>
  <c r="P35" i="6"/>
  <c r="AB93" i="6"/>
  <c r="AB94" i="6"/>
  <c r="S15" i="6"/>
  <c r="AA94" i="6"/>
  <c r="AA93" i="6"/>
  <c r="G63" i="6"/>
  <c r="H55" i="6"/>
  <c r="H38" i="6"/>
  <c r="Y3" i="6"/>
  <c r="CU38" i="7"/>
  <c r="CV38" i="7"/>
  <c r="BP38" i="7"/>
  <c r="BM38" i="7"/>
  <c r="I11" i="12"/>
  <c r="I48" i="11"/>
  <c r="I46" i="11"/>
  <c r="I53" i="11"/>
  <c r="I51" i="11"/>
  <c r="I52" i="11"/>
  <c r="I50" i="11"/>
  <c r="J47" i="11"/>
  <c r="H45" i="11"/>
  <c r="EE30" i="8" l="1"/>
  <c r="EE29" i="8"/>
  <c r="EE28" i="8"/>
  <c r="EE27" i="8"/>
  <c r="EE26" i="8"/>
  <c r="EF25" i="8"/>
  <c r="AG110" i="6"/>
  <c r="AH100" i="6"/>
  <c r="AJ10" i="6"/>
  <c r="AI11" i="6"/>
  <c r="AI12" i="6" s="1"/>
  <c r="AI13" i="6"/>
  <c r="DO5" i="7"/>
  <c r="DO10" i="7"/>
  <c r="DO16" i="7"/>
  <c r="DO47" i="7"/>
  <c r="DO54" i="7"/>
  <c r="DQ52" i="7"/>
  <c r="DP51" i="7"/>
  <c r="DP54" i="7" s="1"/>
  <c r="DP47" i="7"/>
  <c r="DQ45" i="7"/>
  <c r="DP16" i="7"/>
  <c r="DQ13" i="7"/>
  <c r="DP10" i="7"/>
  <c r="DQ8" i="7"/>
  <c r="DP5" i="7"/>
  <c r="DQ3" i="7"/>
  <c r="CC15" i="7"/>
  <c r="M42" i="14"/>
  <c r="G5" i="7"/>
  <c r="CD15" i="7"/>
  <c r="H51" i="7"/>
  <c r="H16" i="7" s="1"/>
  <c r="I52" i="7"/>
  <c r="H54" i="7"/>
  <c r="H5" i="7"/>
  <c r="G16" i="2"/>
  <c r="G18" i="2"/>
  <c r="G19" i="2"/>
  <c r="G14" i="2"/>
  <c r="G15" i="2" s="1"/>
  <c r="H40" i="6"/>
  <c r="H13" i="2"/>
  <c r="H22" i="2" s="1"/>
  <c r="I4" i="2"/>
  <c r="H3" i="2"/>
  <c r="F17" i="2"/>
  <c r="G16" i="7"/>
  <c r="H45" i="14"/>
  <c r="H44" i="14"/>
  <c r="H43" i="14"/>
  <c r="H48" i="14"/>
  <c r="G10" i="7"/>
  <c r="L45" i="7"/>
  <c r="J3" i="14"/>
  <c r="I2" i="14"/>
  <c r="F20" i="2"/>
  <c r="N33" i="14"/>
  <c r="I8" i="7"/>
  <c r="H10" i="7"/>
  <c r="I17" i="10"/>
  <c r="J3" i="10"/>
  <c r="BR38" i="7"/>
  <c r="BR15" i="7"/>
  <c r="BQ4" i="7"/>
  <c r="G47" i="7"/>
  <c r="K59" i="7"/>
  <c r="J58" i="7"/>
  <c r="H49" i="14"/>
  <c r="G54" i="7"/>
  <c r="M3" i="7"/>
  <c r="H47" i="7"/>
  <c r="U44" i="7"/>
  <c r="T49" i="7"/>
  <c r="W28" i="8"/>
  <c r="X25" i="8"/>
  <c r="W30" i="8"/>
  <c r="W27" i="8"/>
  <c r="W26" i="8"/>
  <c r="I17" i="11"/>
  <c r="I23" i="11" s="1"/>
  <c r="I24" i="11" s="1"/>
  <c r="H20" i="11"/>
  <c r="H18" i="11"/>
  <c r="H15" i="11"/>
  <c r="H21" i="11"/>
  <c r="H19" i="11"/>
  <c r="H16" i="11"/>
  <c r="G14" i="11"/>
  <c r="K28" i="11"/>
  <c r="K25" i="11"/>
  <c r="K27" i="11"/>
  <c r="K26" i="11"/>
  <c r="C31" i="11"/>
  <c r="C32" i="11" s="1"/>
  <c r="D32" i="11"/>
  <c r="J23" i="11"/>
  <c r="J24" i="11" s="1"/>
  <c r="J22" i="11"/>
  <c r="J37" i="11" s="1"/>
  <c r="H3" i="11"/>
  <c r="K24" i="11"/>
  <c r="K13" i="7"/>
  <c r="T15" i="6"/>
  <c r="I38" i="6"/>
  <c r="Z3" i="6"/>
  <c r="AA3" i="6" s="1"/>
  <c r="AB3" i="6" s="1"/>
  <c r="H63" i="6"/>
  <c r="I55" i="6"/>
  <c r="AM65" i="6"/>
  <c r="CT38" i="7"/>
  <c r="Z12" i="12" s="1"/>
  <c r="CS38" i="7"/>
  <c r="BK38" i="7"/>
  <c r="BN38" i="7"/>
  <c r="H11" i="12"/>
  <c r="H50" i="11"/>
  <c r="H52" i="11"/>
  <c r="H46" i="11"/>
  <c r="H53" i="11"/>
  <c r="H51" i="11"/>
  <c r="H48" i="11"/>
  <c r="I47" i="11"/>
  <c r="G45" i="11"/>
  <c r="EF30" i="8" l="1"/>
  <c r="EF29" i="8"/>
  <c r="EF28" i="8"/>
  <c r="EF27" i="8"/>
  <c r="EF26" i="8"/>
  <c r="EG25" i="8"/>
  <c r="AM66" i="6"/>
  <c r="AM67" i="6" s="1"/>
  <c r="AM68" i="6"/>
  <c r="AK10" i="6"/>
  <c r="AJ13" i="6"/>
  <c r="AJ11" i="6"/>
  <c r="AJ12" i="6" s="1"/>
  <c r="AH110" i="6"/>
  <c r="AI100" i="6"/>
  <c r="DR3" i="7"/>
  <c r="DR8" i="7"/>
  <c r="DR13" i="7"/>
  <c r="DR45" i="7"/>
  <c r="DR52" i="7"/>
  <c r="DQ51" i="7"/>
  <c r="J2" i="14"/>
  <c r="J47" i="14" s="1"/>
  <c r="K3" i="14"/>
  <c r="I49" i="14"/>
  <c r="N3" i="7"/>
  <c r="J8" i="7"/>
  <c r="I10" i="7"/>
  <c r="J45" i="14"/>
  <c r="I48" i="14"/>
  <c r="I43" i="14"/>
  <c r="I47" i="14"/>
  <c r="I46" i="14"/>
  <c r="M45" i="7"/>
  <c r="I44" i="14"/>
  <c r="H14" i="2"/>
  <c r="H15" i="2" s="1"/>
  <c r="H19" i="2"/>
  <c r="H18" i="2"/>
  <c r="H16" i="2"/>
  <c r="H17" i="2" s="1"/>
  <c r="V44" i="7"/>
  <c r="U49" i="7"/>
  <c r="O33" i="14"/>
  <c r="P33" i="14" s="1"/>
  <c r="Q33" i="14" s="1"/>
  <c r="R33" i="14" s="1"/>
  <c r="S33" i="14" s="1"/>
  <c r="T33" i="14" s="1"/>
  <c r="U33" i="14" s="1"/>
  <c r="V33" i="14" s="1"/>
  <c r="I13" i="2"/>
  <c r="I22" i="2" s="1"/>
  <c r="J4" i="2"/>
  <c r="I3" i="2"/>
  <c r="I51" i="7"/>
  <c r="I54" i="7" s="1"/>
  <c r="J52" i="7"/>
  <c r="N42" i="14"/>
  <c r="G20" i="2"/>
  <c r="I40" i="6"/>
  <c r="J17" i="10"/>
  <c r="K3" i="10"/>
  <c r="G17" i="2"/>
  <c r="I5" i="7"/>
  <c r="K58" i="7"/>
  <c r="L59" i="7"/>
  <c r="I45" i="14"/>
  <c r="BV4" i="7"/>
  <c r="BQ6" i="7"/>
  <c r="BR6" i="7"/>
  <c r="BS6" i="7"/>
  <c r="BQ15" i="7"/>
  <c r="BQ38" i="7"/>
  <c r="X26" i="8"/>
  <c r="Y25" i="8"/>
  <c r="X30" i="8"/>
  <c r="I22" i="11"/>
  <c r="I37" i="11" s="1"/>
  <c r="I28" i="11"/>
  <c r="I25" i="11"/>
  <c r="I26" i="11"/>
  <c r="I27" i="11"/>
  <c r="G20" i="11"/>
  <c r="G18" i="11"/>
  <c r="G15" i="11"/>
  <c r="G19" i="11"/>
  <c r="G16" i="11"/>
  <c r="G21" i="11"/>
  <c r="F14" i="11"/>
  <c r="G3" i="11"/>
  <c r="H17" i="11"/>
  <c r="J26" i="11"/>
  <c r="J28" i="11"/>
  <c r="J25" i="11"/>
  <c r="J27" i="11"/>
  <c r="L13" i="7"/>
  <c r="U15" i="6"/>
  <c r="I63" i="6"/>
  <c r="J55" i="6"/>
  <c r="J38" i="6"/>
  <c r="AC3" i="6"/>
  <c r="AN65" i="6"/>
  <c r="CQ38" i="7"/>
  <c r="CR38" i="7"/>
  <c r="BL38" i="7"/>
  <c r="BI38" i="7"/>
  <c r="G11" i="12"/>
  <c r="G52" i="11"/>
  <c r="G50" i="11"/>
  <c r="G46" i="11"/>
  <c r="G53" i="11"/>
  <c r="G51" i="11"/>
  <c r="G48" i="11"/>
  <c r="H47" i="11"/>
  <c r="F45" i="11"/>
  <c r="EG30" i="8" l="1"/>
  <c r="EG29" i="8"/>
  <c r="EG28" i="8"/>
  <c r="EG27" i="8"/>
  <c r="EG26" i="8"/>
  <c r="EH25" i="8"/>
  <c r="AN66" i="6"/>
  <c r="AN67" i="6" s="1"/>
  <c r="AN68" i="6"/>
  <c r="AJ100" i="6"/>
  <c r="AI110" i="6"/>
  <c r="AL10" i="6"/>
  <c r="AK13" i="6"/>
  <c r="AK11" i="6"/>
  <c r="AK12" i="6" s="1"/>
  <c r="DQ5" i="7"/>
  <c r="DQ10" i="7"/>
  <c r="DQ16" i="7"/>
  <c r="DQ47" i="7"/>
  <c r="DQ54" i="7"/>
  <c r="DS52" i="7"/>
  <c r="DR51" i="7"/>
  <c r="DR54" i="7" s="1"/>
  <c r="DR47" i="7"/>
  <c r="DS45" i="7"/>
  <c r="DR16" i="7"/>
  <c r="DS13" i="7"/>
  <c r="DR10" i="7"/>
  <c r="DS8" i="7"/>
  <c r="DR5" i="7"/>
  <c r="DS3" i="7"/>
  <c r="I18" i="2"/>
  <c r="I14" i="2"/>
  <c r="I15" i="2" s="1"/>
  <c r="I19" i="2"/>
  <c r="I16" i="2"/>
  <c r="I17" i="2" s="1"/>
  <c r="W44" i="7"/>
  <c r="V49" i="7"/>
  <c r="J48" i="14"/>
  <c r="K45" i="14"/>
  <c r="M59" i="7"/>
  <c r="L58" i="7"/>
  <c r="O42" i="14"/>
  <c r="P42" i="14" s="1"/>
  <c r="Q42" i="14" s="1"/>
  <c r="R42" i="14" s="1"/>
  <c r="S42" i="14" s="1"/>
  <c r="T42" i="14" s="1"/>
  <c r="U42" i="14" s="1"/>
  <c r="V42" i="14" s="1"/>
  <c r="J3" i="2"/>
  <c r="J13" i="2"/>
  <c r="J22" i="2" s="1"/>
  <c r="K4" i="2"/>
  <c r="F39" i="6"/>
  <c r="F44" i="6" s="1"/>
  <c r="J44" i="14"/>
  <c r="J49" i="14"/>
  <c r="BT4" i="7"/>
  <c r="BV15" i="7"/>
  <c r="BU4" i="7"/>
  <c r="BV38" i="7"/>
  <c r="J43" i="14"/>
  <c r="J51" i="7"/>
  <c r="J54" i="7"/>
  <c r="K52" i="7"/>
  <c r="H20" i="2"/>
  <c r="O3" i="7"/>
  <c r="J10" i="7"/>
  <c r="K8" i="7"/>
  <c r="F56" i="6"/>
  <c r="J46" i="14"/>
  <c r="N45" i="7"/>
  <c r="K44" i="14"/>
  <c r="J40" i="6"/>
  <c r="K2" i="14"/>
  <c r="L3" i="14"/>
  <c r="I16" i="7"/>
  <c r="J5" i="7"/>
  <c r="J16" i="7"/>
  <c r="I47" i="7"/>
  <c r="J47" i="7"/>
  <c r="K47" i="14"/>
  <c r="K43" i="14"/>
  <c r="L3" i="10"/>
  <c r="K17" i="10"/>
  <c r="Y28" i="8"/>
  <c r="Y30" i="8"/>
  <c r="Y27" i="8"/>
  <c r="Z25" i="8"/>
  <c r="Y26" i="8"/>
  <c r="F3" i="11"/>
  <c r="G17" i="11"/>
  <c r="H22" i="11"/>
  <c r="H37" i="11" s="1"/>
  <c r="H23" i="11"/>
  <c r="H24" i="11" s="1"/>
  <c r="F21" i="11"/>
  <c r="F19" i="11"/>
  <c r="F16" i="11"/>
  <c r="F20" i="11"/>
  <c r="F18" i="11"/>
  <c r="F15" i="11"/>
  <c r="E14" i="11"/>
  <c r="M13" i="7"/>
  <c r="K38" i="6"/>
  <c r="V15" i="6"/>
  <c r="AD3" i="6"/>
  <c r="J63" i="6"/>
  <c r="K55" i="6"/>
  <c r="AO65" i="6"/>
  <c r="CP38" i="7"/>
  <c r="CO38" i="7"/>
  <c r="BG38" i="7"/>
  <c r="BJ38" i="7"/>
  <c r="F11" i="12"/>
  <c r="F53" i="11"/>
  <c r="F52" i="11"/>
  <c r="F50" i="11"/>
  <c r="F46" i="11"/>
  <c r="F51" i="11"/>
  <c r="F48" i="11"/>
  <c r="G47" i="11"/>
  <c r="E45" i="11"/>
  <c r="EH30" i="8" l="1"/>
  <c r="EH29" i="8"/>
  <c r="EH28" i="8"/>
  <c r="EH27" i="8"/>
  <c r="EH26" i="8"/>
  <c r="EI25" i="8"/>
  <c r="AO66" i="6"/>
  <c r="AO67" i="6" s="1"/>
  <c r="AO68" i="6"/>
  <c r="AM10" i="6"/>
  <c r="AL11" i="6"/>
  <c r="AL12" i="6" s="1"/>
  <c r="AL13" i="6"/>
  <c r="AK100" i="6"/>
  <c r="AJ110" i="6"/>
  <c r="DT3" i="7"/>
  <c r="DT8" i="7"/>
  <c r="DT13" i="7"/>
  <c r="DT45" i="7"/>
  <c r="DT52" i="7"/>
  <c r="DS51" i="7"/>
  <c r="L52" i="7"/>
  <c r="K51" i="7"/>
  <c r="K54" i="7"/>
  <c r="I20" i="2"/>
  <c r="O45" i="7"/>
  <c r="BU15" i="7"/>
  <c r="BU38" i="7"/>
  <c r="L8" i="7"/>
  <c r="K10" i="7"/>
  <c r="F41" i="6"/>
  <c r="F42" i="6" s="1"/>
  <c r="F43" i="6" s="1"/>
  <c r="M58" i="7"/>
  <c r="N59" i="7"/>
  <c r="L17" i="10"/>
  <c r="M3" i="10"/>
  <c r="L2" i="14"/>
  <c r="L46" i="14" s="1"/>
  <c r="M3" i="14"/>
  <c r="CD6" i="7"/>
  <c r="BT6" i="7"/>
  <c r="BT15" i="7"/>
  <c r="CB6" i="7"/>
  <c r="CA6" i="7"/>
  <c r="BV6" i="7"/>
  <c r="BU6" i="7"/>
  <c r="BT38" i="7"/>
  <c r="BW6" i="7"/>
  <c r="CE6" i="7"/>
  <c r="CC6" i="7"/>
  <c r="BY6" i="7"/>
  <c r="BX6" i="7"/>
  <c r="BZ6" i="7"/>
  <c r="L48" i="14"/>
  <c r="L45" i="14"/>
  <c r="K46" i="14"/>
  <c r="K48" i="14"/>
  <c r="L43" i="14"/>
  <c r="P3" i="7"/>
  <c r="K13" i="2"/>
  <c r="K22" i="2" s="1"/>
  <c r="L4" i="2"/>
  <c r="K3" i="2"/>
  <c r="X44" i="7"/>
  <c r="W49" i="7"/>
  <c r="K49" i="14"/>
  <c r="K40" i="6"/>
  <c r="J16" i="2"/>
  <c r="J19" i="2"/>
  <c r="J20" i="2" s="1"/>
  <c r="J18" i="2"/>
  <c r="J14" i="2"/>
  <c r="J15" i="2" s="1"/>
  <c r="Z26" i="8"/>
  <c r="Z27" i="8"/>
  <c r="Z28" i="8"/>
  <c r="Z30" i="8"/>
  <c r="AA25" i="8"/>
  <c r="G23" i="11"/>
  <c r="G24" i="11" s="1"/>
  <c r="G22" i="11"/>
  <c r="G37" i="11" s="1"/>
  <c r="E21" i="11"/>
  <c r="E19" i="11"/>
  <c r="E16" i="11"/>
  <c r="E20" i="11"/>
  <c r="E15" i="11"/>
  <c r="E18" i="11"/>
  <c r="D14" i="11"/>
  <c r="H25" i="11"/>
  <c r="H28" i="11"/>
  <c r="H26" i="11"/>
  <c r="H27" i="11"/>
  <c r="E3" i="11"/>
  <c r="F17" i="11"/>
  <c r="N13" i="7"/>
  <c r="K63" i="6"/>
  <c r="L55" i="6"/>
  <c r="L38" i="6"/>
  <c r="AE3" i="6"/>
  <c r="AF3" i="6" s="1"/>
  <c r="AG3" i="6" s="1"/>
  <c r="W15" i="6"/>
  <c r="AP65" i="6"/>
  <c r="CM38" i="7"/>
  <c r="CN38" i="7"/>
  <c r="BH38" i="7"/>
  <c r="BE38" i="7"/>
  <c r="E52" i="11"/>
  <c r="E46" i="11"/>
  <c r="E51" i="11"/>
  <c r="E50" i="11"/>
  <c r="E53" i="11"/>
  <c r="E48" i="11"/>
  <c r="F47" i="11"/>
  <c r="D45" i="11"/>
  <c r="EI30" i="8" l="1"/>
  <c r="EI29" i="8"/>
  <c r="EI28" i="8"/>
  <c r="EI27" i="8"/>
  <c r="EI26" i="8"/>
  <c r="EJ25" i="8"/>
  <c r="AP66" i="6"/>
  <c r="AP67" i="6" s="1"/>
  <c r="AL100" i="6"/>
  <c r="AL110" i="6" s="1"/>
  <c r="AK110" i="6"/>
  <c r="AM11" i="6"/>
  <c r="AM12" i="6" s="1"/>
  <c r="AM13" i="6"/>
  <c r="DS5" i="7"/>
  <c r="DS10" i="7"/>
  <c r="DS16" i="7"/>
  <c r="DS47" i="7"/>
  <c r="DS54" i="7"/>
  <c r="DT51" i="7"/>
  <c r="DT54" i="7" s="1"/>
  <c r="DT47" i="7"/>
  <c r="DT16" i="7"/>
  <c r="DT10" i="7"/>
  <c r="DT5" i="7"/>
  <c r="O59" i="7"/>
  <c r="N58" i="7"/>
  <c r="J17" i="2"/>
  <c r="K5" i="7"/>
  <c r="K16" i="7"/>
  <c r="K47" i="7"/>
  <c r="L47" i="7"/>
  <c r="M2" i="14"/>
  <c r="N3" i="14"/>
  <c r="L54" i="7"/>
  <c r="M52" i="7"/>
  <c r="L51" i="7"/>
  <c r="L5" i="7" s="1"/>
  <c r="L47" i="14"/>
  <c r="L44" i="14"/>
  <c r="Q3" i="7"/>
  <c r="L49" i="14"/>
  <c r="K14" i="2"/>
  <c r="K15" i="2" s="1"/>
  <c r="K19" i="2"/>
  <c r="K20" i="2" s="1"/>
  <c r="K18" i="2"/>
  <c r="K16" i="2"/>
  <c r="M44" i="14"/>
  <c r="M17" i="10"/>
  <c r="N3" i="10"/>
  <c r="L10" i="7"/>
  <c r="M8" i="7"/>
  <c r="P45" i="7"/>
  <c r="L40" i="6"/>
  <c r="Y44" i="7"/>
  <c r="X49" i="7"/>
  <c r="L3" i="2"/>
  <c r="M4" i="2"/>
  <c r="L13" i="2"/>
  <c r="L22" i="2" s="1"/>
  <c r="AH3" i="6"/>
  <c r="AI3" i="6" s="1"/>
  <c r="AJ3" i="6" s="1"/>
  <c r="AK3" i="6" s="1"/>
  <c r="AL3" i="6" s="1"/>
  <c r="AM3" i="6" s="1"/>
  <c r="AN3" i="6" s="1"/>
  <c r="AO3" i="6" s="1"/>
  <c r="AP3" i="6" s="1"/>
  <c r="Q6" i="12"/>
  <c r="R6" i="12"/>
  <c r="P90" i="1"/>
  <c r="AA30" i="8"/>
  <c r="AB25" i="8"/>
  <c r="AA26" i="8"/>
  <c r="F22" i="11"/>
  <c r="F37" i="11" s="1"/>
  <c r="F23" i="11"/>
  <c r="F24" i="11" s="1"/>
  <c r="D3" i="11"/>
  <c r="D21" i="11"/>
  <c r="D19" i="11"/>
  <c r="D16" i="11"/>
  <c r="D20" i="11"/>
  <c r="D18" i="11"/>
  <c r="D15" i="11"/>
  <c r="C14" i="11"/>
  <c r="E17" i="11"/>
  <c r="G25" i="11"/>
  <c r="G27" i="11"/>
  <c r="G26" i="11"/>
  <c r="G28" i="11"/>
  <c r="O13" i="7"/>
  <c r="L63" i="6"/>
  <c r="M55" i="6"/>
  <c r="K90" i="1"/>
  <c r="N90" i="1"/>
  <c r="L90" i="1"/>
  <c r="O90" i="1"/>
  <c r="M38" i="6"/>
  <c r="X15" i="6"/>
  <c r="CL38" i="7"/>
  <c r="CK38" i="7"/>
  <c r="BC38" i="7"/>
  <c r="BF38" i="7"/>
  <c r="D53" i="11"/>
  <c r="D48" i="11"/>
  <c r="D52" i="11"/>
  <c r="D50" i="11"/>
  <c r="D46" i="11"/>
  <c r="D51" i="11"/>
  <c r="E47" i="11"/>
  <c r="C45" i="11"/>
  <c r="EJ30" i="8" l="1"/>
  <c r="EJ29" i="8"/>
  <c r="EJ28" i="8"/>
  <c r="EJ27" i="8"/>
  <c r="EJ26" i="8"/>
  <c r="EK25" i="8"/>
  <c r="N8" i="7"/>
  <c r="G41" i="6"/>
  <c r="M40" i="6"/>
  <c r="K17" i="2"/>
  <c r="M51" i="7"/>
  <c r="M54" i="7" s="1"/>
  <c r="N52" i="7"/>
  <c r="O3" i="14"/>
  <c r="N2" i="14"/>
  <c r="Z44" i="7"/>
  <c r="Y49" i="7"/>
  <c r="Q45" i="7"/>
  <c r="M48" i="14"/>
  <c r="M49" i="14"/>
  <c r="N48" i="14"/>
  <c r="N46" i="14"/>
  <c r="M46" i="14"/>
  <c r="M45" i="14"/>
  <c r="N47" i="14"/>
  <c r="M43" i="14"/>
  <c r="M47" i="14"/>
  <c r="P59" i="7"/>
  <c r="O58" i="7"/>
  <c r="O64" i="7"/>
  <c r="P64" i="7" s="1"/>
  <c r="Q64" i="7" s="1"/>
  <c r="R64" i="7" s="1"/>
  <c r="S64" i="7" s="1"/>
  <c r="T64" i="7" s="1"/>
  <c r="U64" i="7" s="1"/>
  <c r="V64" i="7" s="1"/>
  <c r="W64" i="7" s="1"/>
  <c r="X64" i="7" s="1"/>
  <c r="Y64" i="7" s="1"/>
  <c r="Z64" i="7" s="1"/>
  <c r="AA64" i="7" s="1"/>
  <c r="AB64" i="7" s="1"/>
  <c r="AC64" i="7" s="1"/>
  <c r="AD64" i="7" s="1"/>
  <c r="AE64" i="7" s="1"/>
  <c r="AF64" i="7" s="1"/>
  <c r="AG64" i="7" s="1"/>
  <c r="AH64" i="7" s="1"/>
  <c r="AI64" i="7" s="1"/>
  <c r="AJ64" i="7" s="1"/>
  <c r="AK64" i="7" s="1"/>
  <c r="AL64" i="7" s="1"/>
  <c r="AM64" i="7" s="1"/>
  <c r="AN64" i="7" s="1"/>
  <c r="AO64" i="7" s="1"/>
  <c r="AP64" i="7" s="1"/>
  <c r="AQ64" i="7" s="1"/>
  <c r="AR64" i="7" s="1"/>
  <c r="AS64" i="7" s="1"/>
  <c r="AT64" i="7" s="1"/>
  <c r="AU64" i="7" s="1"/>
  <c r="AV64" i="7" s="1"/>
  <c r="AW64" i="7" s="1"/>
  <c r="AX64" i="7" s="1"/>
  <c r="AY64" i="7" s="1"/>
  <c r="AZ64" i="7" s="1"/>
  <c r="BA64" i="7" s="1"/>
  <c r="BB64" i="7" s="1"/>
  <c r="BC64" i="7" s="1"/>
  <c r="BD64" i="7" s="1"/>
  <c r="BE64" i="7" s="1"/>
  <c r="BF64" i="7" s="1"/>
  <c r="BG64" i="7" s="1"/>
  <c r="BH64" i="7" s="1"/>
  <c r="BI64" i="7" s="1"/>
  <c r="BJ64" i="7" s="1"/>
  <c r="BK64" i="7" s="1"/>
  <c r="BL64" i="7" s="1"/>
  <c r="BM64" i="7" s="1"/>
  <c r="BN64" i="7" s="1"/>
  <c r="BO64" i="7" s="1"/>
  <c r="BP64" i="7" s="1"/>
  <c r="BQ64" i="7" s="1"/>
  <c r="BR64" i="7" s="1"/>
  <c r="BS64" i="7" s="1"/>
  <c r="BT64" i="7" s="1"/>
  <c r="BU64" i="7" s="1"/>
  <c r="BV64" i="7" s="1"/>
  <c r="BW64" i="7" s="1"/>
  <c r="BX64" i="7" s="1"/>
  <c r="BY64" i="7" s="1"/>
  <c r="BZ64" i="7" s="1"/>
  <c r="CA64" i="7" s="1"/>
  <c r="CB64" i="7" s="1"/>
  <c r="CC64" i="7" s="1"/>
  <c r="CD64" i="7" s="1"/>
  <c r="CE64" i="7" s="1"/>
  <c r="CF64" i="7" s="1"/>
  <c r="CG64" i="7" s="1"/>
  <c r="CH64" i="7" s="1"/>
  <c r="CI64" i="7" s="1"/>
  <c r="CJ64" i="7" s="1"/>
  <c r="CK64" i="7" s="1"/>
  <c r="CL64" i="7" s="1"/>
  <c r="CM64" i="7" s="1"/>
  <c r="CN64" i="7" s="1"/>
  <c r="CO64" i="7" s="1"/>
  <c r="CP64" i="7" s="1"/>
  <c r="CQ64" i="7" s="1"/>
  <c r="CR64" i="7" s="1"/>
  <c r="CS64" i="7" s="1"/>
  <c r="CT64" i="7" s="1"/>
  <c r="CU64" i="7" s="1"/>
  <c r="CV64" i="7" s="1"/>
  <c r="CW64" i="7" s="1"/>
  <c r="CX64" i="7" s="1"/>
  <c r="N4" i="2"/>
  <c r="M3" i="2"/>
  <c r="M13" i="2"/>
  <c r="M22" i="2" s="1"/>
  <c r="N17" i="10"/>
  <c r="O3" i="10"/>
  <c r="L19" i="2"/>
  <c r="L18" i="2"/>
  <c r="L14" i="2"/>
  <c r="L15" i="2" s="1"/>
  <c r="L16" i="2"/>
  <c r="R3" i="7"/>
  <c r="L16" i="7"/>
  <c r="AB28" i="8"/>
  <c r="AB30" i="8"/>
  <c r="AB27" i="8"/>
  <c r="AB26" i="8"/>
  <c r="AC25" i="8"/>
  <c r="D17" i="11"/>
  <c r="D23" i="11" s="1"/>
  <c r="F26" i="11"/>
  <c r="F27" i="11"/>
  <c r="F28" i="11"/>
  <c r="F25" i="11"/>
  <c r="E22" i="11"/>
  <c r="E37" i="11" s="1"/>
  <c r="E23" i="11"/>
  <c r="E24" i="11" s="1"/>
  <c r="C18" i="11"/>
  <c r="C21" i="11"/>
  <c r="C19" i="11"/>
  <c r="C16" i="11"/>
  <c r="C20" i="11"/>
  <c r="C15" i="11"/>
  <c r="C3" i="11"/>
  <c r="P13" i="7"/>
  <c r="Y15" i="6"/>
  <c r="Z15" i="6" s="1"/>
  <c r="AA15" i="6" s="1"/>
  <c r="AB15" i="6" s="1"/>
  <c r="N38" i="6"/>
  <c r="M63" i="6"/>
  <c r="N55" i="6"/>
  <c r="CI38" i="7"/>
  <c r="CJ38" i="7"/>
  <c r="BD38" i="7"/>
  <c r="BA38" i="7"/>
  <c r="C53" i="11"/>
  <c r="C51" i="11"/>
  <c r="C48" i="11"/>
  <c r="C46" i="11"/>
  <c r="C52" i="11"/>
  <c r="C50" i="11"/>
  <c r="D47" i="11"/>
  <c r="EK30" i="8" l="1"/>
  <c r="EK29" i="8"/>
  <c r="EK28" i="8"/>
  <c r="EK27" i="8"/>
  <c r="EK26" i="8"/>
  <c r="EL25" i="8"/>
  <c r="L17" i="2"/>
  <c r="M5" i="7"/>
  <c r="L20" i="2"/>
  <c r="P58" i="7"/>
  <c r="Q59" i="7"/>
  <c r="R45" i="7"/>
  <c r="M10" i="7"/>
  <c r="M47" i="7"/>
  <c r="N49" i="14"/>
  <c r="N44" i="14"/>
  <c r="N45" i="14"/>
  <c r="N43" i="14"/>
  <c r="O8" i="7"/>
  <c r="G39" i="6"/>
  <c r="G44" i="6" s="1"/>
  <c r="G56" i="6"/>
  <c r="G64" i="6" s="1"/>
  <c r="M16" i="7"/>
  <c r="Z49" i="7"/>
  <c r="AA44" i="7"/>
  <c r="P3" i="14"/>
  <c r="O4" i="2"/>
  <c r="N3" i="2"/>
  <c r="N13" i="2"/>
  <c r="S3" i="7"/>
  <c r="G42" i="6"/>
  <c r="G43" i="6" s="1"/>
  <c r="N40" i="6"/>
  <c r="O17" i="10"/>
  <c r="P17" i="10" s="1"/>
  <c r="Q17" i="10" s="1"/>
  <c r="R17" i="10" s="1"/>
  <c r="S17" i="10" s="1"/>
  <c r="T17" i="10" s="1"/>
  <c r="U17" i="10" s="1"/>
  <c r="V17" i="10" s="1"/>
  <c r="W17" i="10" s="1"/>
  <c r="X17" i="10" s="1"/>
  <c r="Y17" i="10" s="1"/>
  <c r="Z17" i="10" s="1"/>
  <c r="AA17" i="10" s="1"/>
  <c r="AB17" i="10" s="1"/>
  <c r="AC17" i="10" s="1"/>
  <c r="AD17" i="10" s="1"/>
  <c r="AE17" i="10" s="1"/>
  <c r="AF17" i="10" s="1"/>
  <c r="AG17" i="10" s="1"/>
  <c r="AH17" i="10" s="1"/>
  <c r="AI17" i="10" s="1"/>
  <c r="AJ17" i="10" s="1"/>
  <c r="AK17" i="10" s="1"/>
  <c r="AL17" i="10" s="1"/>
  <c r="E20" i="4" s="1"/>
  <c r="P3" i="10"/>
  <c r="M16" i="2"/>
  <c r="M17" i="2" s="1"/>
  <c r="M19" i="2"/>
  <c r="M20" i="2" s="1"/>
  <c r="M14" i="2"/>
  <c r="M15" i="2" s="1"/>
  <c r="M18" i="2"/>
  <c r="O52" i="7"/>
  <c r="N51" i="7"/>
  <c r="N16" i="7" s="1"/>
  <c r="N54" i="7"/>
  <c r="AC27" i="8"/>
  <c r="AC26" i="8"/>
  <c r="AD25" i="8"/>
  <c r="AE25" i="8" s="1"/>
  <c r="AC28" i="8"/>
  <c r="AC30" i="8"/>
  <c r="C17" i="11"/>
  <c r="C22" i="11" s="1"/>
  <c r="C37" i="11" s="1"/>
  <c r="D24" i="11"/>
  <c r="D28" i="11"/>
  <c r="D22" i="11"/>
  <c r="D37" i="11" s="1"/>
  <c r="D26" i="11"/>
  <c r="D25" i="11"/>
  <c r="E25" i="11"/>
  <c r="E26" i="11"/>
  <c r="E27" i="11"/>
  <c r="E28" i="11"/>
  <c r="D27" i="11"/>
  <c r="Q13" i="7"/>
  <c r="AC15" i="6"/>
  <c r="N63" i="6"/>
  <c r="O55" i="6"/>
  <c r="O38" i="6"/>
  <c r="BB38" i="7"/>
  <c r="AY38" i="7"/>
  <c r="C47" i="11"/>
  <c r="EL30" i="8" l="1"/>
  <c r="EL29" i="8"/>
  <c r="EL28" i="8"/>
  <c r="EL27" i="8"/>
  <c r="EL26" i="8"/>
  <c r="EM25" i="8"/>
  <c r="L9" i="4"/>
  <c r="J9" i="4"/>
  <c r="H9" i="4"/>
  <c r="F9" i="4"/>
  <c r="AA49" i="7"/>
  <c r="AB44" i="7"/>
  <c r="O40" i="6"/>
  <c r="N22" i="2"/>
  <c r="O22" i="2" s="1"/>
  <c r="P22" i="2" s="1"/>
  <c r="Q22" i="2" s="1"/>
  <c r="R22" i="2" s="1"/>
  <c r="S22" i="2" s="1"/>
  <c r="T22" i="2" s="1"/>
  <c r="U22" i="2" s="1"/>
  <c r="V22" i="2" s="1"/>
  <c r="W22" i="2" s="1"/>
  <c r="X22" i="2" s="1"/>
  <c r="Y22" i="2" s="1"/>
  <c r="Z22" i="2" s="1"/>
  <c r="AA22" i="2" s="1"/>
  <c r="AB22" i="2" s="1"/>
  <c r="AC22" i="2" s="1"/>
  <c r="AD22" i="2" s="1"/>
  <c r="AE22" i="2" s="1"/>
  <c r="AF22" i="2" s="1"/>
  <c r="AG22" i="2" s="1"/>
  <c r="AH22" i="2" s="1"/>
  <c r="AI22" i="2" s="1"/>
  <c r="AJ22" i="2" s="1"/>
  <c r="AK22" i="2" s="1"/>
  <c r="AL22" i="2" s="1"/>
  <c r="AM22" i="2" s="1"/>
  <c r="AN22" i="2" s="1"/>
  <c r="AO22" i="2" s="1"/>
  <c r="AP22" i="2" s="1"/>
  <c r="AQ22" i="2" s="1"/>
  <c r="AR22" i="2" s="1"/>
  <c r="O13" i="2"/>
  <c r="N5" i="7"/>
  <c r="N10" i="7"/>
  <c r="N19" i="2"/>
  <c r="N20" i="2" s="1"/>
  <c r="N16" i="2"/>
  <c r="N17" i="2" s="1"/>
  <c r="N14" i="2"/>
  <c r="N15" i="2" s="1"/>
  <c r="N18" i="2"/>
  <c r="P4" i="2"/>
  <c r="O3" i="2"/>
  <c r="N47" i="7"/>
  <c r="O10" i="7"/>
  <c r="P8" i="7"/>
  <c r="S45" i="7"/>
  <c r="O54" i="7"/>
  <c r="P52" i="7"/>
  <c r="O51" i="7"/>
  <c r="O5" i="7" s="1"/>
  <c r="Q3" i="10"/>
  <c r="R3" i="10" s="1"/>
  <c r="S3" i="10" s="1"/>
  <c r="T3" i="10" s="1"/>
  <c r="U3" i="10" s="1"/>
  <c r="V3" i="10" s="1"/>
  <c r="W3" i="10" s="1"/>
  <c r="X3" i="10" s="1"/>
  <c r="Y3" i="10" s="1"/>
  <c r="Z3" i="10" s="1"/>
  <c r="AA3" i="10" s="1"/>
  <c r="AB3" i="10" s="1"/>
  <c r="AC3" i="10" s="1"/>
  <c r="AD3" i="10" s="1"/>
  <c r="AE3" i="10" s="1"/>
  <c r="AF3" i="10" s="1"/>
  <c r="AG3" i="10" s="1"/>
  <c r="AH3" i="10" s="1"/>
  <c r="AI3" i="10" s="1"/>
  <c r="AJ3" i="10" s="1"/>
  <c r="AK3" i="10" s="1"/>
  <c r="AL3" i="10" s="1"/>
  <c r="E91" i="1" s="1"/>
  <c r="D94" i="1"/>
  <c r="C96" i="1"/>
  <c r="C94" i="1"/>
  <c r="T3" i="7"/>
  <c r="Q3" i="14"/>
  <c r="Q58" i="7"/>
  <c r="R59" i="7"/>
  <c r="AE26" i="8"/>
  <c r="AF25" i="8"/>
  <c r="AE27" i="8"/>
  <c r="AE30" i="8"/>
  <c r="AE28" i="8"/>
  <c r="C23" i="11"/>
  <c r="C25" i="11" s="1"/>
  <c r="R13" i="7"/>
  <c r="AD15" i="6"/>
  <c r="P38" i="6"/>
  <c r="O63" i="6"/>
  <c r="P55" i="6"/>
  <c r="CE38" i="7"/>
  <c r="Y54" i="12"/>
  <c r="AW38" i="7"/>
  <c r="AZ38" i="7"/>
  <c r="EM30" i="8" l="1"/>
  <c r="EM29" i="8"/>
  <c r="EM28" i="8"/>
  <c r="EM27" i="8"/>
  <c r="EM26" i="8"/>
  <c r="EN25" i="8"/>
  <c r="T45" i="7"/>
  <c r="S59" i="7"/>
  <c r="R58" i="7"/>
  <c r="U3" i="7"/>
  <c r="O47" i="7"/>
  <c r="P40" i="6"/>
  <c r="O16" i="7"/>
  <c r="F93" i="1"/>
  <c r="F94" i="1"/>
  <c r="F96" i="1"/>
  <c r="I21" i="4"/>
  <c r="F91" i="1"/>
  <c r="E94" i="1"/>
  <c r="F90" i="1"/>
  <c r="D93" i="1"/>
  <c r="D92" i="1"/>
  <c r="E95" i="1"/>
  <c r="D90" i="1"/>
  <c r="F98" i="1"/>
  <c r="E96" i="1"/>
  <c r="C98" i="1"/>
  <c r="C90" i="1"/>
  <c r="E21" i="4"/>
  <c r="F95" i="1"/>
  <c r="E17" i="4" s="1"/>
  <c r="C95" i="1"/>
  <c r="D98" i="1"/>
  <c r="E90" i="1"/>
  <c r="E93" i="1"/>
  <c r="D95" i="1"/>
  <c r="F92" i="1"/>
  <c r="D91" i="1"/>
  <c r="E92" i="1"/>
  <c r="E98" i="1"/>
  <c r="D96" i="1"/>
  <c r="C93" i="1"/>
  <c r="C91" i="1"/>
  <c r="C92" i="1"/>
  <c r="C97" i="1" s="1"/>
  <c r="P5" i="7"/>
  <c r="O19" i="2"/>
  <c r="O20" i="2" s="1"/>
  <c r="O18" i="2"/>
  <c r="O14" i="2"/>
  <c r="O15" i="2" s="1"/>
  <c r="O16" i="2"/>
  <c r="Q52" i="7"/>
  <c r="P51" i="7"/>
  <c r="P54" i="7"/>
  <c r="AC44" i="7"/>
  <c r="AB49" i="7"/>
  <c r="R3" i="14"/>
  <c r="S3" i="14" s="1"/>
  <c r="T3" i="14" s="1"/>
  <c r="U3" i="14" s="1"/>
  <c r="V3" i="14" s="1"/>
  <c r="N37" i="14"/>
  <c r="P10" i="7"/>
  <c r="Q8" i="7"/>
  <c r="Q4" i="2"/>
  <c r="P3" i="2"/>
  <c r="P13" i="2"/>
  <c r="AS22" i="2"/>
  <c r="AF28" i="8"/>
  <c r="AF27" i="8"/>
  <c r="AF26" i="8"/>
  <c r="AF30" i="8"/>
  <c r="AG25" i="8"/>
  <c r="C28" i="11"/>
  <c r="C26" i="11"/>
  <c r="C24" i="11"/>
  <c r="C27" i="11"/>
  <c r="S13" i="7"/>
  <c r="AE15" i="6"/>
  <c r="Q38" i="6"/>
  <c r="P63" i="6"/>
  <c r="Q55" i="6"/>
  <c r="M32" i="11"/>
  <c r="CC38" i="7"/>
  <c r="T32" i="11"/>
  <c r="N32" i="11"/>
  <c r="CD38" i="7"/>
  <c r="Z54" i="12"/>
  <c r="AU38" i="7"/>
  <c r="AX38" i="7"/>
  <c r="E97" i="1" l="1"/>
  <c r="E99" i="1" s="1"/>
  <c r="EN30" i="8"/>
  <c r="EN29" i="8"/>
  <c r="EN28" i="8"/>
  <c r="EN27" i="8"/>
  <c r="EN26" i="8"/>
  <c r="EO25" i="8"/>
  <c r="C99" i="1"/>
  <c r="L6" i="4"/>
  <c r="J6" i="4"/>
  <c r="H6" i="4"/>
  <c r="F6" i="4"/>
  <c r="D97" i="1"/>
  <c r="D99" i="1" s="1"/>
  <c r="F97" i="1"/>
  <c r="F99" i="1" s="1"/>
  <c r="AF15" i="6"/>
  <c r="J34" i="14"/>
  <c r="J37" i="14"/>
  <c r="M55" i="14" s="1"/>
  <c r="J40" i="14"/>
  <c r="D39" i="14"/>
  <c r="I40" i="14"/>
  <c r="E40" i="14"/>
  <c r="I36" i="14"/>
  <c r="G34" i="14"/>
  <c r="J52" i="14" s="1"/>
  <c r="F34" i="14"/>
  <c r="J38" i="14"/>
  <c r="F40" i="14"/>
  <c r="H40" i="14"/>
  <c r="I35" i="14"/>
  <c r="G35" i="14"/>
  <c r="F35" i="14"/>
  <c r="I53" i="14" s="1"/>
  <c r="G40" i="14"/>
  <c r="J58" i="14" s="1"/>
  <c r="D34" i="14"/>
  <c r="E37" i="14"/>
  <c r="H55" i="14" s="1"/>
  <c r="H34" i="14"/>
  <c r="I34" i="14"/>
  <c r="H35" i="14"/>
  <c r="D40" i="14"/>
  <c r="E39" i="14"/>
  <c r="G37" i="14"/>
  <c r="F39" i="14"/>
  <c r="J35" i="14"/>
  <c r="C40" i="14"/>
  <c r="F58" i="14" s="1"/>
  <c r="D38" i="14"/>
  <c r="I37" i="14"/>
  <c r="C39" i="14"/>
  <c r="L34" i="14"/>
  <c r="F36" i="14"/>
  <c r="I54" i="14" s="1"/>
  <c r="D35" i="14"/>
  <c r="C38" i="14"/>
  <c r="D37" i="14"/>
  <c r="E38" i="14"/>
  <c r="H38" i="14"/>
  <c r="G36" i="14"/>
  <c r="E36" i="14"/>
  <c r="H54" i="14" s="1"/>
  <c r="H37" i="14"/>
  <c r="C34" i="14"/>
  <c r="C37" i="14"/>
  <c r="F55" i="14" s="1"/>
  <c r="H36" i="14"/>
  <c r="E35" i="14"/>
  <c r="H53" i="14" s="1"/>
  <c r="K34" i="14"/>
  <c r="H39" i="14"/>
  <c r="J39" i="14"/>
  <c r="L35" i="14"/>
  <c r="C35" i="14"/>
  <c r="F53" i="14" s="1"/>
  <c r="F38" i="14"/>
  <c r="I56" i="14" s="1"/>
  <c r="K38" i="14"/>
  <c r="K40" i="14"/>
  <c r="L39" i="14"/>
  <c r="E34" i="14"/>
  <c r="H52" i="14" s="1"/>
  <c r="F37" i="14"/>
  <c r="I55" i="14" s="1"/>
  <c r="G39" i="14"/>
  <c r="I38" i="14"/>
  <c r="K35" i="14"/>
  <c r="N53" i="14" s="1"/>
  <c r="G38" i="14"/>
  <c r="L36" i="14"/>
  <c r="D36" i="14"/>
  <c r="M35" i="14"/>
  <c r="I39" i="14"/>
  <c r="K39" i="14"/>
  <c r="L37" i="14"/>
  <c r="L38" i="14"/>
  <c r="C36" i="14"/>
  <c r="F54" i="14" s="1"/>
  <c r="J36" i="14"/>
  <c r="L40" i="14"/>
  <c r="N40" i="14"/>
  <c r="K36" i="14"/>
  <c r="N36" i="14"/>
  <c r="M38" i="14"/>
  <c r="M34" i="14"/>
  <c r="N38" i="14"/>
  <c r="K37" i="14"/>
  <c r="M39" i="14"/>
  <c r="M37" i="14"/>
  <c r="M36" i="14"/>
  <c r="N35" i="14"/>
  <c r="N39" i="14"/>
  <c r="R8" i="7"/>
  <c r="H56" i="6"/>
  <c r="H64" i="6" s="1"/>
  <c r="AC49" i="7"/>
  <c r="AD44" i="7"/>
  <c r="Q5" i="7"/>
  <c r="P16" i="7"/>
  <c r="U45" i="7"/>
  <c r="Q13" i="2"/>
  <c r="R52" i="7"/>
  <c r="Q51" i="7"/>
  <c r="Q10" i="7" s="1"/>
  <c r="Q54" i="7"/>
  <c r="P47" i="7"/>
  <c r="V3" i="7"/>
  <c r="M76" i="1"/>
  <c r="M78" i="1"/>
  <c r="M74" i="1"/>
  <c r="M80" i="1"/>
  <c r="P16" i="2"/>
  <c r="P19" i="2"/>
  <c r="P14" i="2"/>
  <c r="P15" i="2" s="1"/>
  <c r="P18" i="2"/>
  <c r="M40" i="14"/>
  <c r="O17" i="2"/>
  <c r="Q40" i="6"/>
  <c r="R4" i="2"/>
  <c r="Q3" i="2"/>
  <c r="N34" i="14"/>
  <c r="E19" i="4"/>
  <c r="T59" i="7"/>
  <c r="S58" i="7"/>
  <c r="AG30" i="8"/>
  <c r="AG26" i="8"/>
  <c r="AH25" i="8"/>
  <c r="T13" i="7"/>
  <c r="R38" i="6"/>
  <c r="Q63" i="6"/>
  <c r="R55" i="6"/>
  <c r="L32" i="11"/>
  <c r="BZ37" i="7"/>
  <c r="F32" i="11" s="1"/>
  <c r="CB38" i="7"/>
  <c r="K32" i="11"/>
  <c r="S32" i="11"/>
  <c r="CA38" i="7"/>
  <c r="AS38" i="7"/>
  <c r="AV38" i="7"/>
  <c r="EO30" i="8" l="1"/>
  <c r="EO29" i="8"/>
  <c r="EO28" i="8"/>
  <c r="EO27" i="8"/>
  <c r="EO26" i="8"/>
  <c r="EP25" i="8"/>
  <c r="L8" i="4"/>
  <c r="J8" i="4"/>
  <c r="H8" i="4"/>
  <c r="F8" i="4"/>
  <c r="R40" i="6"/>
  <c r="AD49" i="7"/>
  <c r="AE44" i="7"/>
  <c r="L56" i="14"/>
  <c r="F52" i="14"/>
  <c r="F44" i="14"/>
  <c r="G44" i="14"/>
  <c r="G53" i="14"/>
  <c r="E44" i="14"/>
  <c r="D44" i="14"/>
  <c r="I57" i="14"/>
  <c r="G52" i="14"/>
  <c r="D43" i="14"/>
  <c r="E43" i="14"/>
  <c r="G43" i="14"/>
  <c r="F43" i="14"/>
  <c r="I52" i="14"/>
  <c r="M52" i="14"/>
  <c r="R13" i="2"/>
  <c r="S13" i="2" s="1"/>
  <c r="T13" i="2" s="1"/>
  <c r="U13" i="2" s="1"/>
  <c r="V13" i="2" s="1"/>
  <c r="W13" i="2" s="1"/>
  <c r="X13" i="2" s="1"/>
  <c r="Y13" i="2" s="1"/>
  <c r="Z13" i="2" s="1"/>
  <c r="AA13" i="2" s="1"/>
  <c r="AB13" i="2" s="1"/>
  <c r="AC13" i="2" s="1"/>
  <c r="AD13" i="2" s="1"/>
  <c r="AE13" i="2" s="1"/>
  <c r="AF13" i="2" s="1"/>
  <c r="AG13" i="2" s="1"/>
  <c r="AH13" i="2" s="1"/>
  <c r="AI13" i="2" s="1"/>
  <c r="AJ13" i="2" s="1"/>
  <c r="AK13" i="2" s="1"/>
  <c r="AL13" i="2" s="1"/>
  <c r="AM13" i="2" s="1"/>
  <c r="AN13" i="2" s="1"/>
  <c r="AO13" i="2" s="1"/>
  <c r="AP13" i="2" s="1"/>
  <c r="AQ13" i="2" s="1"/>
  <c r="AR13" i="2" s="1"/>
  <c r="M53" i="14"/>
  <c r="V45" i="7"/>
  <c r="N57" i="14"/>
  <c r="J57" i="14"/>
  <c r="K55" i="14"/>
  <c r="J55" i="14"/>
  <c r="N54" i="14"/>
  <c r="L57" i="14"/>
  <c r="M57" i="14"/>
  <c r="H57" i="14"/>
  <c r="L54" i="14"/>
  <c r="W3" i="7"/>
  <c r="F56" i="14"/>
  <c r="K57" i="14"/>
  <c r="J54" i="14"/>
  <c r="F57" i="14"/>
  <c r="G49" i="14"/>
  <c r="G58" i="14"/>
  <c r="F49" i="14"/>
  <c r="D49" i="14"/>
  <c r="E49" i="14"/>
  <c r="J53" i="14"/>
  <c r="H58" i="14"/>
  <c r="AG15" i="6"/>
  <c r="R3" i="2"/>
  <c r="S4" i="2"/>
  <c r="P20" i="2"/>
  <c r="M79" i="1"/>
  <c r="R16" i="7"/>
  <c r="Q47" i="7"/>
  <c r="R10" i="7"/>
  <c r="S8" i="7"/>
  <c r="D45" i="14"/>
  <c r="E45" i="14"/>
  <c r="F45" i="14"/>
  <c r="G45" i="14"/>
  <c r="G54" i="14"/>
  <c r="N52" i="14"/>
  <c r="K56" i="14"/>
  <c r="L55" i="14"/>
  <c r="K53" i="14"/>
  <c r="L53" i="14"/>
  <c r="L58" i="14"/>
  <c r="R47" i="7"/>
  <c r="M56" i="14"/>
  <c r="Q19" i="2"/>
  <c r="Q18" i="2"/>
  <c r="Q16" i="2"/>
  <c r="Q14" i="2"/>
  <c r="Q15" i="2" s="1"/>
  <c r="U59" i="7"/>
  <c r="T58" i="7"/>
  <c r="P17" i="2"/>
  <c r="M77" i="1"/>
  <c r="R51" i="7"/>
  <c r="R54" i="7"/>
  <c r="S52" i="7"/>
  <c r="N55" i="14"/>
  <c r="M54" i="14"/>
  <c r="N58" i="14"/>
  <c r="H56" i="14"/>
  <c r="G56" i="14"/>
  <c r="E47" i="14"/>
  <c r="D47" i="14"/>
  <c r="F47" i="14"/>
  <c r="G47" i="14"/>
  <c r="L52" i="14"/>
  <c r="K58" i="14"/>
  <c r="F48" i="14"/>
  <c r="E48" i="14"/>
  <c r="D48" i="14"/>
  <c r="G48" i="14"/>
  <c r="G57" i="14"/>
  <c r="M81" i="1"/>
  <c r="Q16" i="7"/>
  <c r="J56" i="14"/>
  <c r="N56" i="14"/>
  <c r="K54" i="14"/>
  <c r="E46" i="14"/>
  <c r="F46" i="14"/>
  <c r="G46" i="14"/>
  <c r="D46" i="14"/>
  <c r="G55" i="14"/>
  <c r="K52" i="14"/>
  <c r="I58" i="14"/>
  <c r="M58" i="14"/>
  <c r="AH27" i="8"/>
  <c r="AH30" i="8"/>
  <c r="AH28" i="8"/>
  <c r="AI25" i="8"/>
  <c r="AH26" i="8"/>
  <c r="U13" i="7"/>
  <c r="R63" i="6"/>
  <c r="S55" i="6"/>
  <c r="S38" i="6"/>
  <c r="J32" i="11"/>
  <c r="BZ38" i="7"/>
  <c r="AQ38" i="7"/>
  <c r="AT38" i="7"/>
  <c r="EP30" i="8" l="1"/>
  <c r="EP29" i="8"/>
  <c r="EP28" i="8"/>
  <c r="EP27" i="8"/>
  <c r="EP26" i="8"/>
  <c r="EQ25" i="8"/>
  <c r="T8" i="7"/>
  <c r="I41" i="6"/>
  <c r="S40" i="6"/>
  <c r="V59" i="7"/>
  <c r="U58" i="7"/>
  <c r="T4" i="2"/>
  <c r="S3" i="2"/>
  <c r="AS13" i="2"/>
  <c r="AE49" i="7"/>
  <c r="AF44" i="7"/>
  <c r="S51" i="7"/>
  <c r="S54" i="7"/>
  <c r="T52" i="7"/>
  <c r="Q17" i="2"/>
  <c r="AH15" i="6"/>
  <c r="X3" i="7"/>
  <c r="R14" i="2"/>
  <c r="R15" i="2" s="1"/>
  <c r="R16" i="2"/>
  <c r="R17" i="2" s="1"/>
  <c r="R18" i="2"/>
  <c r="R19" i="2"/>
  <c r="R20" i="2" s="1"/>
  <c r="R5" i="7"/>
  <c r="Q20" i="2"/>
  <c r="S5" i="7"/>
  <c r="W45" i="7"/>
  <c r="AI26" i="8"/>
  <c r="AI27" i="8"/>
  <c r="AJ25" i="8"/>
  <c r="AI30" i="8"/>
  <c r="AI28" i="8"/>
  <c r="V13" i="7"/>
  <c r="T38" i="6"/>
  <c r="S63" i="6"/>
  <c r="T55" i="6"/>
  <c r="AR38" i="7"/>
  <c r="AO38" i="7"/>
  <c r="EQ30" i="8" l="1"/>
  <c r="EQ29" i="8"/>
  <c r="EQ28" i="8"/>
  <c r="EQ27" i="8"/>
  <c r="EQ26" i="8"/>
  <c r="ER25" i="8"/>
  <c r="U52" i="7"/>
  <c r="T51" i="7"/>
  <c r="T54" i="7"/>
  <c r="S14" i="2"/>
  <c r="S15" i="2" s="1"/>
  <c r="S19" i="2"/>
  <c r="S20" i="2" s="1"/>
  <c r="S16" i="2"/>
  <c r="S17" i="2" s="1"/>
  <c r="S18" i="2"/>
  <c r="T3" i="2"/>
  <c r="U4" i="2"/>
  <c r="Y3" i="7"/>
  <c r="S16" i="7"/>
  <c r="S47" i="7"/>
  <c r="S10" i="7"/>
  <c r="T40" i="6"/>
  <c r="AI15" i="6"/>
  <c r="W59" i="7"/>
  <c r="V58" i="7"/>
  <c r="I42" i="6"/>
  <c r="I43" i="6" s="1"/>
  <c r="T10" i="7"/>
  <c r="U8" i="7"/>
  <c r="X45" i="7"/>
  <c r="AF49" i="7"/>
  <c r="AG44" i="7"/>
  <c r="T16" i="7"/>
  <c r="AJ30" i="8"/>
  <c r="AJ26" i="8"/>
  <c r="AK25" i="8"/>
  <c r="W13" i="7"/>
  <c r="U38" i="6"/>
  <c r="T63" i="6"/>
  <c r="U55" i="6"/>
  <c r="AK38" i="7"/>
  <c r="AM38" i="7"/>
  <c r="AP38" i="7"/>
  <c r="ER30" i="8" l="1"/>
  <c r="ER29" i="8"/>
  <c r="ER28" i="8"/>
  <c r="ER27" i="8"/>
  <c r="ER26" i="8"/>
  <c r="ES25" i="8"/>
  <c r="V8" i="7"/>
  <c r="AJ15" i="6"/>
  <c r="Z3" i="7"/>
  <c r="U40" i="6"/>
  <c r="V4" i="2"/>
  <c r="U3" i="2"/>
  <c r="Y45" i="7"/>
  <c r="X59" i="7"/>
  <c r="W58" i="7"/>
  <c r="T14" i="2"/>
  <c r="T15" i="2" s="1"/>
  <c r="T16" i="2"/>
  <c r="T17" i="2" s="1"/>
  <c r="T19" i="2"/>
  <c r="T18" i="2"/>
  <c r="T47" i="7"/>
  <c r="T5" i="7"/>
  <c r="AG49" i="7"/>
  <c r="AH44" i="7"/>
  <c r="U51" i="7"/>
  <c r="U10" i="7" s="1"/>
  <c r="V52" i="7"/>
  <c r="AL25" i="8"/>
  <c r="AK28" i="8"/>
  <c r="AK30" i="8"/>
  <c r="AK26" i="8"/>
  <c r="AK27" i="8"/>
  <c r="X13" i="7"/>
  <c r="V38" i="6"/>
  <c r="U63" i="6"/>
  <c r="V55" i="6"/>
  <c r="AN38" i="7"/>
  <c r="ES30" i="8" l="1"/>
  <c r="ES29" i="8"/>
  <c r="ES28" i="8"/>
  <c r="ES27" i="8"/>
  <c r="ES26" i="8"/>
  <c r="ET25" i="8"/>
  <c r="U14" i="2"/>
  <c r="U15" i="2" s="1"/>
  <c r="U19" i="2"/>
  <c r="U20" i="2" s="1"/>
  <c r="U16" i="2"/>
  <c r="U17" i="2" s="1"/>
  <c r="U18" i="2"/>
  <c r="Y59" i="7"/>
  <c r="X58" i="7"/>
  <c r="W4" i="2"/>
  <c r="V3" i="2"/>
  <c r="AH49" i="7"/>
  <c r="AI44" i="7"/>
  <c r="V40" i="6"/>
  <c r="Z45" i="7"/>
  <c r="AK15" i="6"/>
  <c r="U54" i="7"/>
  <c r="U16" i="7"/>
  <c r="U5" i="7"/>
  <c r="U47" i="7"/>
  <c r="V16" i="7"/>
  <c r="V54" i="7"/>
  <c r="V51" i="7"/>
  <c r="W52" i="7"/>
  <c r="T20" i="2"/>
  <c r="AA3" i="7"/>
  <c r="V10" i="7"/>
  <c r="W8" i="7"/>
  <c r="AL27" i="8"/>
  <c r="AL28" i="8"/>
  <c r="AL26" i="8"/>
  <c r="AM25" i="8"/>
  <c r="AL30" i="8"/>
  <c r="Y13" i="7"/>
  <c r="V63" i="6"/>
  <c r="W55" i="6"/>
  <c r="W38" i="6"/>
  <c r="AJ38" i="7"/>
  <c r="AL38" i="7"/>
  <c r="ET30" i="8" l="1"/>
  <c r="ET29" i="8"/>
  <c r="ET28" i="8"/>
  <c r="ET27" i="8"/>
  <c r="ET26" i="8"/>
  <c r="W40" i="6"/>
  <c r="V14" i="2"/>
  <c r="V15" i="2" s="1"/>
  <c r="V19" i="2"/>
  <c r="V20" i="2" s="1"/>
  <c r="V18" i="2"/>
  <c r="V16" i="2"/>
  <c r="X4" i="2"/>
  <c r="W3" i="2"/>
  <c r="AL15" i="6"/>
  <c r="AB3" i="7"/>
  <c r="AA45" i="7"/>
  <c r="AI49" i="7"/>
  <c r="AJ44" i="7"/>
  <c r="Y58" i="7"/>
  <c r="Z59" i="7"/>
  <c r="X8" i="7"/>
  <c r="X52" i="7"/>
  <c r="W51" i="7"/>
  <c r="W54" i="7"/>
  <c r="V47" i="7"/>
  <c r="V5" i="7"/>
  <c r="AM26" i="8"/>
  <c r="AM30" i="8"/>
  <c r="AN25" i="8"/>
  <c r="Z13" i="7"/>
  <c r="X38" i="6"/>
  <c r="W63" i="6"/>
  <c r="X55" i="6"/>
  <c r="AJ49" i="7" l="1"/>
  <c r="AK44" i="7"/>
  <c r="AM15" i="6"/>
  <c r="L91" i="1" s="1"/>
  <c r="W16" i="2"/>
  <c r="W17" i="2" s="1"/>
  <c r="W19" i="2"/>
  <c r="W18" i="2"/>
  <c r="W14" i="2"/>
  <c r="W15" i="2" s="1"/>
  <c r="X40" i="6"/>
  <c r="Y8" i="7"/>
  <c r="X10" i="7"/>
  <c r="AB45" i="7"/>
  <c r="Y4" i="2"/>
  <c r="X3" i="2"/>
  <c r="W10" i="7"/>
  <c r="V17" i="2"/>
  <c r="Y52" i="7"/>
  <c r="X54" i="7"/>
  <c r="X51" i="7"/>
  <c r="X16" i="7"/>
  <c r="W5" i="7"/>
  <c r="W16" i="7"/>
  <c r="W47" i="7"/>
  <c r="AA59" i="7"/>
  <c r="Z58" i="7"/>
  <c r="AC3" i="7"/>
  <c r="AN30" i="8"/>
  <c r="AN27" i="8"/>
  <c r="AN26" i="8"/>
  <c r="AN28" i="8"/>
  <c r="AO25" i="8"/>
  <c r="AA13" i="7"/>
  <c r="Y55" i="6"/>
  <c r="Y38" i="6"/>
  <c r="AB59" i="7" l="1"/>
  <c r="AA58" i="7"/>
  <c r="Z4" i="2"/>
  <c r="Y3" i="2"/>
  <c r="X5" i="7"/>
  <c r="X47" i="7"/>
  <c r="AC45" i="7"/>
  <c r="Z8" i="7"/>
  <c r="Y5" i="7"/>
  <c r="Y54" i="7"/>
  <c r="Z52" i="7"/>
  <c r="Y51" i="7"/>
  <c r="AN15" i="6"/>
  <c r="AK49" i="7"/>
  <c r="AL44" i="7"/>
  <c r="X19" i="2"/>
  <c r="X18" i="2"/>
  <c r="X14" i="2"/>
  <c r="X15" i="2" s="1"/>
  <c r="X16" i="2"/>
  <c r="X17" i="2" s="1"/>
  <c r="AD3" i="7"/>
  <c r="Y40" i="6"/>
  <c r="X99" i="6"/>
  <c r="W20" i="2"/>
  <c r="X109" i="6"/>
  <c r="AO27" i="8"/>
  <c r="AP25" i="8"/>
  <c r="AQ25" i="8" s="1"/>
  <c r="AO28" i="8"/>
  <c r="AO26" i="8"/>
  <c r="AO30" i="8"/>
  <c r="AB13" i="7"/>
  <c r="Z38" i="6"/>
  <c r="Z55" i="6"/>
  <c r="AE3" i="7" l="1"/>
  <c r="AO15" i="6"/>
  <c r="N6" i="12" s="1"/>
  <c r="Y19" i="2"/>
  <c r="Y14" i="2"/>
  <c r="Y15" i="2" s="1"/>
  <c r="Y18" i="2"/>
  <c r="Y16" i="2"/>
  <c r="Y17" i="2" s="1"/>
  <c r="Y47" i="7"/>
  <c r="AA8" i="7"/>
  <c r="Z10" i="7"/>
  <c r="Z3" i="2"/>
  <c r="AA4" i="2"/>
  <c r="AA52" i="7"/>
  <c r="Z54" i="7"/>
  <c r="Z51" i="7"/>
  <c r="Y10" i="7"/>
  <c r="Z40" i="6"/>
  <c r="Y99" i="6"/>
  <c r="X20" i="2"/>
  <c r="AD45" i="7"/>
  <c r="AC59" i="7"/>
  <c r="AB58" i="7"/>
  <c r="AL49" i="7"/>
  <c r="AM44" i="7"/>
  <c r="Y16" i="7"/>
  <c r="AR25" i="8"/>
  <c r="AQ30" i="8"/>
  <c r="AQ28" i="8"/>
  <c r="AQ26" i="8"/>
  <c r="AQ27" i="8"/>
  <c r="AC13" i="7"/>
  <c r="AA55" i="6"/>
  <c r="AA38" i="6"/>
  <c r="Z47" i="7" l="1"/>
  <c r="Z5" i="7"/>
  <c r="AD59" i="7"/>
  <c r="AC58" i="7"/>
  <c r="AE45" i="7"/>
  <c r="AB52" i="7"/>
  <c r="AA51" i="7"/>
  <c r="AA10" i="7"/>
  <c r="AB8" i="7"/>
  <c r="Z99" i="6"/>
  <c r="Y20" i="2"/>
  <c r="AM49" i="7"/>
  <c r="AN44" i="7"/>
  <c r="AB4" i="2"/>
  <c r="AA3" i="2"/>
  <c r="Z16" i="7"/>
  <c r="AA40" i="6"/>
  <c r="Z14" i="2"/>
  <c r="Z16" i="2"/>
  <c r="Z18" i="2"/>
  <c r="H78" i="1" s="1"/>
  <c r="Z19" i="2"/>
  <c r="AA47" i="7"/>
  <c r="AP15" i="6"/>
  <c r="AF3" i="7"/>
  <c r="AS25" i="8"/>
  <c r="AR27" i="8"/>
  <c r="AR30" i="8"/>
  <c r="AR26" i="8"/>
  <c r="AR28" i="8"/>
  <c r="AD13" i="7"/>
  <c r="AB55" i="6"/>
  <c r="AB38" i="6"/>
  <c r="AA18" i="2" l="1"/>
  <c r="AB9" i="2" s="1"/>
  <c r="AA14" i="2"/>
  <c r="AA19" i="2"/>
  <c r="AA16" i="2"/>
  <c r="AB40" i="6"/>
  <c r="AG3" i="7"/>
  <c r="AN49" i="7"/>
  <c r="AO44" i="7"/>
  <c r="Z17" i="2"/>
  <c r="H76" i="1"/>
  <c r="AA5" i="7"/>
  <c r="Z15" i="2"/>
  <c r="H74" i="1"/>
  <c r="H79" i="1" s="1"/>
  <c r="AA54" i="7"/>
  <c r="AA99" i="6"/>
  <c r="Z20" i="2"/>
  <c r="H80" i="1"/>
  <c r="AB3" i="2"/>
  <c r="AC4" i="2"/>
  <c r="AC8" i="7"/>
  <c r="AB51" i="7"/>
  <c r="AB54" i="7"/>
  <c r="AC52" i="7"/>
  <c r="AA16" i="7"/>
  <c r="AE59" i="7"/>
  <c r="AD58" i="7"/>
  <c r="AF45" i="7"/>
  <c r="AS26" i="8"/>
  <c r="AS30" i="8"/>
  <c r="AT25" i="8"/>
  <c r="AE13" i="7"/>
  <c r="AC38" i="6"/>
  <c r="AC55" i="6"/>
  <c r="H81" i="1" l="1"/>
  <c r="AB10" i="7"/>
  <c r="AB47" i="7"/>
  <c r="AH3" i="7"/>
  <c r="AC54" i="7"/>
  <c r="AD52" i="7"/>
  <c r="AC51" i="7"/>
  <c r="AD8" i="7"/>
  <c r="AC10" i="7"/>
  <c r="AB16" i="7"/>
  <c r="AA17" i="2"/>
  <c r="AB7" i="2"/>
  <c r="AC40" i="6"/>
  <c r="AE58" i="7"/>
  <c r="AF59" i="7"/>
  <c r="AC3" i="2"/>
  <c r="AD4" i="2"/>
  <c r="H77" i="1"/>
  <c r="AO49" i="7"/>
  <c r="AP44" i="7"/>
  <c r="AB10" i="2"/>
  <c r="AA20" i="2"/>
  <c r="AB23" i="6"/>
  <c r="AG45" i="7"/>
  <c r="AC16" i="7"/>
  <c r="AB5" i="7"/>
  <c r="AB19" i="2"/>
  <c r="AB14" i="2"/>
  <c r="AB16" i="2"/>
  <c r="AB18" i="2"/>
  <c r="AC9" i="2" s="1"/>
  <c r="AA15" i="2"/>
  <c r="AB5" i="2"/>
  <c r="AC27" i="2"/>
  <c r="AB27" i="2"/>
  <c r="AC5" i="7"/>
  <c r="AU25" i="8"/>
  <c r="AT26" i="8"/>
  <c r="AT30" i="8"/>
  <c r="AT27" i="8"/>
  <c r="AT28" i="8"/>
  <c r="AF13" i="7"/>
  <c r="AD55" i="6"/>
  <c r="AD38" i="6"/>
  <c r="AD3" i="2" l="1"/>
  <c r="AE4" i="2"/>
  <c r="AC10" i="2"/>
  <c r="AB20" i="2"/>
  <c r="AC23" i="6"/>
  <c r="AB26" i="6"/>
  <c r="AB24" i="6"/>
  <c r="AB25" i="6" s="1"/>
  <c r="AC19" i="2"/>
  <c r="AC18" i="2"/>
  <c r="AD9" i="2" s="1"/>
  <c r="AI3" i="7"/>
  <c r="AF58" i="7"/>
  <c r="AG59" i="7"/>
  <c r="AB6" i="2"/>
  <c r="AB23" i="2"/>
  <c r="AB24" i="2" s="1"/>
  <c r="AB11" i="2"/>
  <c r="AC28" i="2"/>
  <c r="AB28" i="2"/>
  <c r="AP49" i="7"/>
  <c r="AQ44" i="7"/>
  <c r="AD10" i="7"/>
  <c r="AE8" i="7"/>
  <c r="AD16" i="7"/>
  <c r="AC47" i="7"/>
  <c r="AD40" i="6"/>
  <c r="AF27" i="2"/>
  <c r="AB8" i="2"/>
  <c r="AB25" i="2"/>
  <c r="AB26" i="2" s="1"/>
  <c r="AD54" i="7"/>
  <c r="AE52" i="7"/>
  <c r="AD51" i="7"/>
  <c r="AC5" i="2"/>
  <c r="AC14" i="2" s="1"/>
  <c r="AB15" i="2"/>
  <c r="AC7" i="2"/>
  <c r="AC16" i="2" s="1"/>
  <c r="AB17" i="2"/>
  <c r="AH45" i="7"/>
  <c r="AU28" i="8"/>
  <c r="AU26" i="8"/>
  <c r="AU27" i="8"/>
  <c r="AV25" i="8"/>
  <c r="AU30" i="8"/>
  <c r="AG13" i="7"/>
  <c r="AE38" i="6"/>
  <c r="AE55" i="6"/>
  <c r="AD5" i="2" l="1"/>
  <c r="AC15" i="2"/>
  <c r="AC17" i="2"/>
  <c r="AD7" i="2"/>
  <c r="AH59" i="7"/>
  <c r="AG58" i="7"/>
  <c r="AI45" i="7"/>
  <c r="AF8" i="7"/>
  <c r="AC24" i="6"/>
  <c r="AC25" i="6" s="1"/>
  <c r="AC26" i="6"/>
  <c r="AE5" i="7"/>
  <c r="AD47" i="7"/>
  <c r="AD5" i="7"/>
  <c r="AQ49" i="7"/>
  <c r="AR44" i="7"/>
  <c r="AF28" i="2"/>
  <c r="AC11" i="2"/>
  <c r="AC8" i="2"/>
  <c r="AF25" i="2"/>
  <c r="AC23" i="2"/>
  <c r="AC24" i="2" s="1"/>
  <c r="AF4" i="2"/>
  <c r="AE3" i="2"/>
  <c r="AJ3" i="7"/>
  <c r="AE54" i="7"/>
  <c r="AF52" i="7"/>
  <c r="AE51" i="7"/>
  <c r="AE10" i="7" s="1"/>
  <c r="AE40" i="6"/>
  <c r="AC6" i="2"/>
  <c r="AF23" i="2"/>
  <c r="AE47" i="7"/>
  <c r="AC99" i="6"/>
  <c r="AC109" i="6"/>
  <c r="AC113" i="6" s="1"/>
  <c r="AC88" i="6" s="1"/>
  <c r="AB29" i="2"/>
  <c r="AE23" i="2"/>
  <c r="AG27" i="2"/>
  <c r="AD27" i="2"/>
  <c r="AD14" i="2"/>
  <c r="AD18" i="2"/>
  <c r="AD16" i="2"/>
  <c r="AD19" i="2"/>
  <c r="AC25" i="2"/>
  <c r="AC26" i="2" s="1"/>
  <c r="AD99" i="6"/>
  <c r="AD109" i="6"/>
  <c r="AD113" i="6" s="1"/>
  <c r="AD88" i="6" s="1"/>
  <c r="AC29" i="2"/>
  <c r="AD23" i="2"/>
  <c r="AD10" i="2"/>
  <c r="AC20" i="2"/>
  <c r="AD23" i="6"/>
  <c r="AE27" i="2"/>
  <c r="AW25" i="8"/>
  <c r="AV26" i="8"/>
  <c r="AV30" i="8"/>
  <c r="AH13" i="7"/>
  <c r="AF38" i="6"/>
  <c r="AF55" i="6"/>
  <c r="AG109" i="6" l="1"/>
  <c r="AG113" i="6" s="1"/>
  <c r="AG88" i="6" s="1"/>
  <c r="AF29" i="2"/>
  <c r="AI59" i="7"/>
  <c r="AH58" i="7"/>
  <c r="AD24" i="2"/>
  <c r="AH24" i="2"/>
  <c r="N74" i="1"/>
  <c r="G21" i="4"/>
  <c r="N78" i="1"/>
  <c r="AE19" i="2"/>
  <c r="AE14" i="2"/>
  <c r="AE15" i="2" s="1"/>
  <c r="AE18" i="2"/>
  <c r="AE16" i="2"/>
  <c r="AD90" i="6"/>
  <c r="AD92" i="6"/>
  <c r="AF3" i="2"/>
  <c r="AG4" i="2"/>
  <c r="AR49" i="7"/>
  <c r="AS44" i="7"/>
  <c r="AG8" i="7"/>
  <c r="AD8" i="2"/>
  <c r="AG25" i="2"/>
  <c r="AD25" i="2"/>
  <c r="AE29" i="2"/>
  <c r="AI24" i="2"/>
  <c r="AE24" i="2"/>
  <c r="AA12" i="12"/>
  <c r="O54" i="12"/>
  <c r="AD24" i="6"/>
  <c r="AD25" i="6" s="1"/>
  <c r="AD26" i="6"/>
  <c r="AF5" i="7"/>
  <c r="AF16" i="7"/>
  <c r="AE16" i="7"/>
  <c r="AE25" i="2"/>
  <c r="AD15" i="2"/>
  <c r="AJ24" i="2"/>
  <c r="AF24" i="2"/>
  <c r="AF40" i="6"/>
  <c r="AE99" i="6"/>
  <c r="AD20" i="2"/>
  <c r="AE23" i="6"/>
  <c r="AC90" i="6"/>
  <c r="AC92" i="6"/>
  <c r="AF54" i="7"/>
  <c r="AG52" i="7"/>
  <c r="AF51" i="7"/>
  <c r="AF26" i="2"/>
  <c r="AJ45" i="7"/>
  <c r="AD6" i="2"/>
  <c r="AE6" i="2"/>
  <c r="AG23" i="2"/>
  <c r="AK3" i="7"/>
  <c r="AD11" i="2"/>
  <c r="AD28" i="2"/>
  <c r="AE28" i="2"/>
  <c r="AD17" i="2"/>
  <c r="AF47" i="7"/>
  <c r="AW27" i="8"/>
  <c r="AW30" i="8"/>
  <c r="AW26" i="8"/>
  <c r="AW28" i="8"/>
  <c r="AX25" i="8"/>
  <c r="AI13" i="7"/>
  <c r="AG55" i="6"/>
  <c r="AG38" i="6"/>
  <c r="L10" i="4" l="1"/>
  <c r="J10" i="4"/>
  <c r="H10" i="4"/>
  <c r="F10" i="4"/>
  <c r="AE17" i="2"/>
  <c r="AG26" i="2"/>
  <c r="AD93" i="6"/>
  <c r="AD94" i="6"/>
  <c r="P74" i="1"/>
  <c r="O74" i="1"/>
  <c r="AK45" i="7"/>
  <c r="AF10" i="7"/>
  <c r="AC93" i="6"/>
  <c r="AC94" i="6"/>
  <c r="AL3" i="7"/>
  <c r="AE26" i="6"/>
  <c r="AE24" i="6"/>
  <c r="M92" i="1"/>
  <c r="M91" i="1"/>
  <c r="AH8" i="7"/>
  <c r="AS49" i="7"/>
  <c r="AT44" i="7"/>
  <c r="AE26" i="2"/>
  <c r="P54" i="12"/>
  <c r="AB12" i="12"/>
  <c r="AJ59" i="7"/>
  <c r="AI58" i="7"/>
  <c r="AG24" i="2"/>
  <c r="AK24" i="2"/>
  <c r="AF109" i="6"/>
  <c r="AF113" i="6" s="1"/>
  <c r="AF88" i="6" s="1"/>
  <c r="AH4" i="2"/>
  <c r="AG3" i="2"/>
  <c r="AF99" i="6"/>
  <c r="AE20" i="2"/>
  <c r="AF23" i="6"/>
  <c r="AG40" i="6"/>
  <c r="AE109" i="6"/>
  <c r="AE113" i="6" s="1"/>
  <c r="AE88" i="6" s="1"/>
  <c r="AD29" i="2"/>
  <c r="AG51" i="7"/>
  <c r="AH52" i="7"/>
  <c r="AD26" i="2"/>
  <c r="N76" i="1"/>
  <c r="AF14" i="2"/>
  <c r="AF15" i="2" s="1"/>
  <c r="AF18" i="2"/>
  <c r="AF19" i="2"/>
  <c r="AF16" i="2"/>
  <c r="N79" i="1"/>
  <c r="P78" i="1"/>
  <c r="O78" i="1"/>
  <c r="AG90" i="6"/>
  <c r="AG92" i="6"/>
  <c r="AX27" i="8"/>
  <c r="AY25" i="8"/>
  <c r="AX28" i="8"/>
  <c r="AX26" i="8"/>
  <c r="AX30" i="8"/>
  <c r="AJ13" i="7"/>
  <c r="AH38" i="6"/>
  <c r="AH55" i="6"/>
  <c r="AG11" i="2" l="1"/>
  <c r="AG28" i="2"/>
  <c r="AF24" i="6"/>
  <c r="AF25" i="6" s="1"/>
  <c r="AF26" i="6"/>
  <c r="AM3" i="7"/>
  <c r="AF17" i="2"/>
  <c r="AH16" i="7"/>
  <c r="AG5" i="7"/>
  <c r="AG47" i="7"/>
  <c r="AF92" i="6"/>
  <c r="AF90" i="6"/>
  <c r="AG99" i="6"/>
  <c r="AF20" i="2"/>
  <c r="AG24" i="6"/>
  <c r="AG54" i="7"/>
  <c r="AL45" i="7"/>
  <c r="AG19" i="2"/>
  <c r="AG14" i="2"/>
  <c r="AG18" i="2"/>
  <c r="AG16" i="2"/>
  <c r="AH3" i="2"/>
  <c r="AI4" i="2"/>
  <c r="AT49" i="7"/>
  <c r="AU44" i="7"/>
  <c r="AH40" i="6"/>
  <c r="AG94" i="6"/>
  <c r="AG93" i="6"/>
  <c r="N77" i="1"/>
  <c r="P77" i="1" s="1"/>
  <c r="O76" i="1"/>
  <c r="P76" i="1"/>
  <c r="AE90" i="6"/>
  <c r="AE92" i="6"/>
  <c r="AG10" i="7"/>
  <c r="AG16" i="7"/>
  <c r="AH54" i="7"/>
  <c r="AI52" i="7"/>
  <c r="AH51" i="7"/>
  <c r="AH47" i="7" s="1"/>
  <c r="AJ58" i="7"/>
  <c r="AK59" i="7"/>
  <c r="AI8" i="7"/>
  <c r="AH10" i="7"/>
  <c r="AE25" i="6"/>
  <c r="AZ25" i="8"/>
  <c r="AY30" i="8"/>
  <c r="AY28" i="8"/>
  <c r="AY26" i="8"/>
  <c r="AK13" i="7"/>
  <c r="AI55" i="6"/>
  <c r="AI38" i="6"/>
  <c r="AH11" i="2" l="1"/>
  <c r="AK28" i="2"/>
  <c r="AH28" i="2"/>
  <c r="AI28" i="2"/>
  <c r="AJ28" i="2"/>
  <c r="AH109" i="6"/>
  <c r="AH113" i="6" s="1"/>
  <c r="AH88" i="6" s="1"/>
  <c r="AG29" i="2"/>
  <c r="AG15" i="2"/>
  <c r="AG17" i="2"/>
  <c r="AJ4" i="2"/>
  <c r="AI3" i="2"/>
  <c r="AJ8" i="7"/>
  <c r="AH19" i="2"/>
  <c r="AH16" i="2"/>
  <c r="AH18" i="2"/>
  <c r="AH14" i="2"/>
  <c r="AH15" i="2" s="1"/>
  <c r="AI54" i="7"/>
  <c r="AI51" i="7"/>
  <c r="AI10" i="7" s="1"/>
  <c r="AJ52" i="7"/>
  <c r="AK58" i="7"/>
  <c r="AL59" i="7"/>
  <c r="AF93" i="6"/>
  <c r="AF94" i="6"/>
  <c r="AH99" i="6"/>
  <c r="AG20" i="2"/>
  <c r="AM45" i="7"/>
  <c r="AN3" i="7"/>
  <c r="AE94" i="6"/>
  <c r="AE93" i="6"/>
  <c r="AI40" i="6"/>
  <c r="AU49" i="7"/>
  <c r="AV44" i="7"/>
  <c r="AG25" i="6"/>
  <c r="AG26" i="6"/>
  <c r="AI16" i="7"/>
  <c r="AH5" i="7"/>
  <c r="AZ27" i="8"/>
  <c r="AZ30" i="8"/>
  <c r="BA25" i="8"/>
  <c r="AZ26" i="8"/>
  <c r="AZ28" i="8"/>
  <c r="AL13" i="7"/>
  <c r="AJ38" i="6"/>
  <c r="AJ55" i="6"/>
  <c r="AJ56" i="6" s="1"/>
  <c r="AJ39" i="6" l="1"/>
  <c r="AJ41" i="6" s="1"/>
  <c r="AJ40" i="6"/>
  <c r="AH92" i="6"/>
  <c r="AH90" i="6"/>
  <c r="AK109" i="6"/>
  <c r="AK113" i="6" s="1"/>
  <c r="AK88" i="6" s="1"/>
  <c r="AJ29" i="2"/>
  <c r="AJ109" i="6"/>
  <c r="AJ113" i="6" s="1"/>
  <c r="AJ88" i="6" s="1"/>
  <c r="AI29" i="2"/>
  <c r="S6" i="12" s="1"/>
  <c r="AC12" i="12"/>
  <c r="Q54" i="12"/>
  <c r="N80" i="1"/>
  <c r="AI109" i="6"/>
  <c r="AI113" i="6" s="1"/>
  <c r="AI88" i="6" s="1"/>
  <c r="AH29" i="2"/>
  <c r="AL109" i="6"/>
  <c r="AL113" i="6" s="1"/>
  <c r="AL88" i="6" s="1"/>
  <c r="AL92" i="6" s="1"/>
  <c r="AK29" i="2"/>
  <c r="AH24" i="6"/>
  <c r="AH25" i="6" s="1"/>
  <c r="AH17" i="2"/>
  <c r="AH26" i="6"/>
  <c r="AV49" i="7"/>
  <c r="AW44" i="7"/>
  <c r="AL58" i="7"/>
  <c r="AM59" i="7"/>
  <c r="AI99" i="6"/>
  <c r="AH20" i="2"/>
  <c r="AI24" i="6"/>
  <c r="AO3" i="7"/>
  <c r="AK8" i="7"/>
  <c r="AJ54" i="7"/>
  <c r="AK52" i="7"/>
  <c r="AJ51" i="7"/>
  <c r="AJ10" i="7" s="1"/>
  <c r="AN45" i="7"/>
  <c r="AJ16" i="7"/>
  <c r="AI47" i="7"/>
  <c r="AJ47" i="7"/>
  <c r="AI5" i="7"/>
  <c r="AI16" i="2"/>
  <c r="AI19" i="2"/>
  <c r="AI18" i="2"/>
  <c r="AI14" i="2"/>
  <c r="AI15" i="2" s="1"/>
  <c r="AJ3" i="2"/>
  <c r="AK4" i="2"/>
  <c r="BB25" i="8"/>
  <c r="BC25" i="8" s="1"/>
  <c r="BA30" i="8"/>
  <c r="BA27" i="8"/>
  <c r="BA28" i="8"/>
  <c r="BA26" i="8"/>
  <c r="AM13" i="7"/>
  <c r="AK38" i="6"/>
  <c r="AK40" i="6" s="1"/>
  <c r="AK55" i="6"/>
  <c r="AL90" i="6" l="1"/>
  <c r="AL93" i="6" s="1"/>
  <c r="AI90" i="6"/>
  <c r="AI92" i="6"/>
  <c r="N81" i="1"/>
  <c r="P81" i="1" s="1"/>
  <c r="O80" i="1"/>
  <c r="P80" i="1"/>
  <c r="AJ90" i="6"/>
  <c r="AJ92" i="6"/>
  <c r="AK90" i="6"/>
  <c r="AK92" i="6"/>
  <c r="AH93" i="6"/>
  <c r="AH94" i="6"/>
  <c r="M6" i="12"/>
  <c r="AI17" i="2"/>
  <c r="AJ99" i="6"/>
  <c r="AI20" i="2"/>
  <c r="AO45" i="7"/>
  <c r="AM58" i="7"/>
  <c r="AN59" i="7"/>
  <c r="AP3" i="7"/>
  <c r="AJ5" i="7"/>
  <c r="AW49" i="7"/>
  <c r="AX44" i="7"/>
  <c r="AL8" i="7"/>
  <c r="AK10" i="7"/>
  <c r="AK3" i="2"/>
  <c r="AL4" i="2"/>
  <c r="AK54" i="7"/>
  <c r="AL52" i="7"/>
  <c r="AK51" i="7"/>
  <c r="AK16" i="7" s="1"/>
  <c r="AI25" i="6"/>
  <c r="AI26" i="6"/>
  <c r="AJ19" i="2"/>
  <c r="AJ16" i="2"/>
  <c r="AJ14" i="2"/>
  <c r="AJ15" i="2" s="1"/>
  <c r="AJ18" i="2"/>
  <c r="BC28" i="8"/>
  <c r="BC30" i="8"/>
  <c r="BD25" i="8"/>
  <c r="BC27" i="8"/>
  <c r="BC26" i="8"/>
  <c r="AN13" i="7"/>
  <c r="AL55" i="6"/>
  <c r="AL38" i="6"/>
  <c r="AL40" i="6" s="1"/>
  <c r="AK94" i="6" l="1"/>
  <c r="AK93" i="6"/>
  <c r="AJ94" i="6"/>
  <c r="AJ93" i="6"/>
  <c r="AI94" i="6"/>
  <c r="AI93" i="6"/>
  <c r="AL94" i="6"/>
  <c r="AJ24" i="6"/>
  <c r="AP45" i="7"/>
  <c r="AK47" i="7"/>
  <c r="AK5" i="7"/>
  <c r="AL16" i="7"/>
  <c r="AM8" i="7"/>
  <c r="AL54" i="7"/>
  <c r="AM52" i="7"/>
  <c r="AL51" i="7"/>
  <c r="AL47" i="7"/>
  <c r="AJ26" i="6"/>
  <c r="AJ25" i="6"/>
  <c r="AQ3" i="7"/>
  <c r="AJ17" i="2"/>
  <c r="AM4" i="2"/>
  <c r="AL3" i="2"/>
  <c r="AX49" i="7"/>
  <c r="AY44" i="7"/>
  <c r="AK99" i="6"/>
  <c r="AJ20" i="2"/>
  <c r="AK16" i="2"/>
  <c r="I76" i="1" s="1"/>
  <c r="AK14" i="2"/>
  <c r="AK18" i="2"/>
  <c r="I78" i="1" s="1"/>
  <c r="AK19" i="2"/>
  <c r="I80" i="1" s="1"/>
  <c r="J80" i="1" s="1"/>
  <c r="AN58" i="7"/>
  <c r="AO59" i="7"/>
  <c r="BD30" i="8"/>
  <c r="BD28" i="8"/>
  <c r="BD26" i="8"/>
  <c r="BD27" i="8"/>
  <c r="BE25" i="8"/>
  <c r="AO13" i="7"/>
  <c r="AM38" i="6"/>
  <c r="AM55" i="6"/>
  <c r="AK15" i="2" l="1"/>
  <c r="I74" i="1"/>
  <c r="I77" i="1" s="1"/>
  <c r="K77" i="1" s="1"/>
  <c r="K80" i="1"/>
  <c r="K76" i="1"/>
  <c r="J76" i="1"/>
  <c r="K78" i="1"/>
  <c r="J78" i="1"/>
  <c r="AK24" i="6"/>
  <c r="K91" i="1"/>
  <c r="AK17" i="2"/>
  <c r="AR3" i="7"/>
  <c r="AL14" i="2"/>
  <c r="AL15" i="2" s="1"/>
  <c r="AL18" i="2"/>
  <c r="AL16" i="2"/>
  <c r="AL19" i="2"/>
  <c r="AL5" i="7"/>
  <c r="AM3" i="2"/>
  <c r="AN4" i="2"/>
  <c r="AM40" i="6"/>
  <c r="AK26" i="6"/>
  <c r="AK25" i="6"/>
  <c r="AQ45" i="7"/>
  <c r="AY49" i="7"/>
  <c r="AZ44" i="7"/>
  <c r="AO58" i="7"/>
  <c r="AP59" i="7"/>
  <c r="AL10" i="7"/>
  <c r="AL99" i="6"/>
  <c r="AK20" i="2"/>
  <c r="AL24" i="6"/>
  <c r="AM54" i="7"/>
  <c r="AN52" i="7"/>
  <c r="AM51" i="7"/>
  <c r="AN8" i="7"/>
  <c r="BE26" i="8"/>
  <c r="BE30" i="8"/>
  <c r="BF25" i="8"/>
  <c r="AP13" i="7"/>
  <c r="AN55" i="6"/>
  <c r="AN38" i="6"/>
  <c r="K74" i="1" l="1"/>
  <c r="J74" i="1"/>
  <c r="I79" i="1"/>
  <c r="I81" i="1"/>
  <c r="K81" i="1" s="1"/>
  <c r="AL17" i="2"/>
  <c r="AM47" i="7"/>
  <c r="AM16" i="7"/>
  <c r="AM99" i="6"/>
  <c r="AL20" i="2"/>
  <c r="AM24" i="6"/>
  <c r="AO52" i="7"/>
  <c r="AN51" i="7"/>
  <c r="AM5" i="7"/>
  <c r="AL25" i="6"/>
  <c r="AL26" i="6"/>
  <c r="AQ59" i="7"/>
  <c r="AP58" i="7"/>
  <c r="AS3" i="7"/>
  <c r="AO8" i="7"/>
  <c r="AZ49" i="7"/>
  <c r="BA44" i="7"/>
  <c r="AO4" i="2"/>
  <c r="AN3" i="2"/>
  <c r="AR45" i="7"/>
  <c r="AN40" i="6"/>
  <c r="AM10" i="7"/>
  <c r="AM14" i="2"/>
  <c r="AM15" i="2" s="1"/>
  <c r="AM18" i="2"/>
  <c r="AM19" i="2"/>
  <c r="AM16" i="2"/>
  <c r="BF26" i="8"/>
  <c r="BG25" i="8"/>
  <c r="BF30" i="8"/>
  <c r="BF28" i="8"/>
  <c r="BF27" i="8"/>
  <c r="AQ13" i="7"/>
  <c r="AO38" i="6"/>
  <c r="AO55" i="6"/>
  <c r="AM17" i="2" l="1"/>
  <c r="BA49" i="7"/>
  <c r="BB44" i="7"/>
  <c r="AO40" i="6"/>
  <c r="AR59" i="7"/>
  <c r="AQ58" i="7"/>
  <c r="AO54" i="7"/>
  <c r="AP52" i="7"/>
  <c r="AO51" i="7"/>
  <c r="AO47" i="7"/>
  <c r="AN54" i="7"/>
  <c r="AS45" i="7"/>
  <c r="AN47" i="7"/>
  <c r="AN99" i="6"/>
  <c r="AM20" i="2"/>
  <c r="AN24" i="6"/>
  <c r="AP8" i="7"/>
  <c r="AO10" i="7"/>
  <c r="AN16" i="7"/>
  <c r="AN10" i="7"/>
  <c r="AO16" i="7"/>
  <c r="AM26" i="6"/>
  <c r="AM25" i="6"/>
  <c r="AN14" i="2"/>
  <c r="AN15" i="2" s="1"/>
  <c r="AN18" i="2"/>
  <c r="AN16" i="2"/>
  <c r="AN19" i="2"/>
  <c r="AT3" i="7"/>
  <c r="AO5" i="7"/>
  <c r="AN5" i="7"/>
  <c r="AP4" i="2"/>
  <c r="AO3" i="2"/>
  <c r="BG28" i="8"/>
  <c r="BG27" i="8"/>
  <c r="BH25" i="8"/>
  <c r="BG30" i="8"/>
  <c r="BG26" i="8"/>
  <c r="AR13" i="7"/>
  <c r="AP55" i="6"/>
  <c r="AP38" i="6"/>
  <c r="AN17" i="2" l="1"/>
  <c r="AO19" i="2"/>
  <c r="AO14" i="2"/>
  <c r="AO15" i="2" s="1"/>
  <c r="AO18" i="2"/>
  <c r="AO16" i="2"/>
  <c r="AN25" i="6"/>
  <c r="AN26" i="6"/>
  <c r="AQ8" i="7"/>
  <c r="AN20" i="2"/>
  <c r="AO99" i="6"/>
  <c r="AO24" i="6"/>
  <c r="AP3" i="2"/>
  <c r="AQ4" i="2"/>
  <c r="BB49" i="7"/>
  <c r="BC44" i="7"/>
  <c r="AP51" i="7"/>
  <c r="AQ52" i="7"/>
  <c r="AS59" i="7"/>
  <c r="AR58" i="7"/>
  <c r="AP40" i="6"/>
  <c r="AU3" i="7"/>
  <c r="AT45" i="7"/>
  <c r="BI25" i="8"/>
  <c r="BH26" i="8"/>
  <c r="BH30" i="8"/>
  <c r="AS13" i="7"/>
  <c r="K94" i="1"/>
  <c r="AO17" i="2" l="1"/>
  <c r="AU45" i="7"/>
  <c r="AR4" i="2"/>
  <c r="AQ3" i="2"/>
  <c r="AT59" i="7"/>
  <c r="AS58" i="7"/>
  <c r="AQ54" i="7"/>
  <c r="AR52" i="7"/>
  <c r="AQ51" i="7"/>
  <c r="AP19" i="2"/>
  <c r="AQ99" i="6" s="1"/>
  <c r="AP16" i="2"/>
  <c r="AP18" i="2"/>
  <c r="AP14" i="2"/>
  <c r="AP15" i="2" s="1"/>
  <c r="AR8" i="7"/>
  <c r="AQ10" i="7"/>
  <c r="AV3" i="7"/>
  <c r="AQ5" i="7"/>
  <c r="AQ47" i="7"/>
  <c r="AQ16" i="7"/>
  <c r="AP47" i="7"/>
  <c r="AP16" i="7"/>
  <c r="AP5" i="7"/>
  <c r="AO26" i="6"/>
  <c r="AO25" i="6"/>
  <c r="AP54" i="7"/>
  <c r="BC49" i="7"/>
  <c r="BD44" i="7"/>
  <c r="AP99" i="6"/>
  <c r="AO20" i="2"/>
  <c r="AP24" i="6"/>
  <c r="O91" i="1" s="1"/>
  <c r="AP10" i="7"/>
  <c r="BI28" i="8"/>
  <c r="BI26" i="8"/>
  <c r="BJ25" i="8"/>
  <c r="BI27" i="8"/>
  <c r="BI30" i="8"/>
  <c r="AT13" i="7"/>
  <c r="AP17" i="2" l="1"/>
  <c r="AQ16" i="2"/>
  <c r="AQ19" i="2"/>
  <c r="AQ18" i="2"/>
  <c r="AQ14" i="2"/>
  <c r="AQ15" i="2" s="1"/>
  <c r="AP26" i="6"/>
  <c r="N91" i="1" s="1"/>
  <c r="AP25" i="6"/>
  <c r="P91" i="1" s="1"/>
  <c r="AW3" i="7"/>
  <c r="AP20" i="2"/>
  <c r="AR3" i="2"/>
  <c r="AS4" i="2"/>
  <c r="AS3" i="2" s="1"/>
  <c r="F76" i="1"/>
  <c r="F74" i="1"/>
  <c r="F80" i="1"/>
  <c r="F78" i="1"/>
  <c r="E78" i="1"/>
  <c r="E80" i="1"/>
  <c r="E76" i="1"/>
  <c r="E74" i="1"/>
  <c r="D80" i="1"/>
  <c r="D78" i="1"/>
  <c r="D74" i="1"/>
  <c r="D76" i="1"/>
  <c r="C76" i="1"/>
  <c r="C74" i="1"/>
  <c r="C78" i="1"/>
  <c r="C80" i="1"/>
  <c r="C77" i="1"/>
  <c r="BD49" i="7"/>
  <c r="BE44" i="7"/>
  <c r="AS52" i="7"/>
  <c r="AR51" i="7"/>
  <c r="AV45" i="7"/>
  <c r="AT58" i="7"/>
  <c r="AU59" i="7"/>
  <c r="AR10" i="7"/>
  <c r="AS8" i="7"/>
  <c r="BJ26" i="8"/>
  <c r="BJ27" i="8"/>
  <c r="BJ30" i="8"/>
  <c r="BK25" i="8"/>
  <c r="BJ28" i="8"/>
  <c r="AU13" i="7"/>
  <c r="C81" i="1" l="1"/>
  <c r="F81" i="1"/>
  <c r="AW45" i="7"/>
  <c r="D79" i="1"/>
  <c r="F77" i="1"/>
  <c r="AR16" i="7"/>
  <c r="AS16" i="7"/>
  <c r="AR5" i="7"/>
  <c r="AS5" i="7"/>
  <c r="AR47" i="7"/>
  <c r="D81" i="1"/>
  <c r="AS54" i="7"/>
  <c r="AT52" i="7"/>
  <c r="AS51" i="7"/>
  <c r="AS16" i="2"/>
  <c r="AS14" i="2"/>
  <c r="AS15" i="2" s="1"/>
  <c r="AS18" i="2"/>
  <c r="AS19" i="2"/>
  <c r="AT99" i="6" s="1"/>
  <c r="AT8" i="7"/>
  <c r="AS10" i="7"/>
  <c r="AR54" i="7"/>
  <c r="C79" i="1"/>
  <c r="E77" i="1"/>
  <c r="AR19" i="2"/>
  <c r="AS99" i="6" s="1"/>
  <c r="AR16" i="2"/>
  <c r="AR14" i="2"/>
  <c r="AR15" i="2" s="1"/>
  <c r="AR18" i="2"/>
  <c r="E81" i="1"/>
  <c r="AQ20" i="2"/>
  <c r="AU58" i="7"/>
  <c r="AV59" i="7"/>
  <c r="BE49" i="7"/>
  <c r="BF44" i="7"/>
  <c r="E79" i="1"/>
  <c r="AQ17" i="2"/>
  <c r="D77" i="1"/>
  <c r="F79" i="1"/>
  <c r="AX3" i="7"/>
  <c r="BL25" i="8"/>
  <c r="BK30" i="8"/>
  <c r="BK26" i="8"/>
  <c r="AV13" i="7"/>
  <c r="AU8" i="7" l="1"/>
  <c r="AR17" i="2"/>
  <c r="AS20" i="2"/>
  <c r="AR20" i="2"/>
  <c r="AS17" i="2"/>
  <c r="AY3" i="7"/>
  <c r="BF49" i="7"/>
  <c r="BG44" i="7"/>
  <c r="AS47" i="7"/>
  <c r="AT5" i="7"/>
  <c r="AX45" i="7"/>
  <c r="AV58" i="7"/>
  <c r="AW59" i="7"/>
  <c r="AT54" i="7"/>
  <c r="AU52" i="7"/>
  <c r="AT51" i="7"/>
  <c r="BL30" i="8"/>
  <c r="BL28" i="8"/>
  <c r="BM25" i="8"/>
  <c r="BL27" i="8"/>
  <c r="BL26" i="8"/>
  <c r="AW13" i="7"/>
  <c r="AT16" i="7" l="1"/>
  <c r="AZ3" i="7"/>
  <c r="AT10" i="7"/>
  <c r="AW58" i="7"/>
  <c r="AX59" i="7"/>
  <c r="AY45" i="7"/>
  <c r="BG49" i="7"/>
  <c r="BH44" i="7"/>
  <c r="AV8" i="7"/>
  <c r="AU54" i="7"/>
  <c r="AV52" i="7"/>
  <c r="AU51" i="7"/>
  <c r="AT47" i="7"/>
  <c r="BM26" i="8"/>
  <c r="BM28" i="8"/>
  <c r="BM27" i="8"/>
  <c r="BM30" i="8"/>
  <c r="BN25" i="8"/>
  <c r="BO25" i="8" s="1"/>
  <c r="AX13" i="7"/>
  <c r="AZ45" i="7" l="1"/>
  <c r="AW52" i="7"/>
  <c r="AV51" i="7"/>
  <c r="AY59" i="7"/>
  <c r="AX58" i="7"/>
  <c r="AU5" i="7"/>
  <c r="AW8" i="7"/>
  <c r="AV10" i="7"/>
  <c r="AU10" i="7"/>
  <c r="AV16" i="7"/>
  <c r="AU47" i="7"/>
  <c r="BH49" i="7"/>
  <c r="BI44" i="7"/>
  <c r="BA3" i="7"/>
  <c r="AU16" i="7"/>
  <c r="BO27" i="8"/>
  <c r="BP25" i="8"/>
  <c r="BO28" i="8"/>
  <c r="BO26" i="8"/>
  <c r="BO30" i="8"/>
  <c r="AY13" i="7"/>
  <c r="AV47" i="7" l="1"/>
  <c r="AX8" i="7"/>
  <c r="AW10" i="7"/>
  <c r="AW54" i="7"/>
  <c r="AW51" i="7"/>
  <c r="AX52" i="7"/>
  <c r="AV54" i="7"/>
  <c r="AV5" i="7"/>
  <c r="BB3" i="7"/>
  <c r="BA45" i="7"/>
  <c r="AY58" i="7"/>
  <c r="AZ59" i="7"/>
  <c r="AW47" i="7"/>
  <c r="BI49" i="7"/>
  <c r="BJ44" i="7"/>
  <c r="AW16" i="7"/>
  <c r="AW5" i="7"/>
  <c r="BQ25" i="8"/>
  <c r="BP27" i="8"/>
  <c r="BP30" i="8"/>
  <c r="BP26" i="8"/>
  <c r="BP28" i="8"/>
  <c r="AZ13" i="7"/>
  <c r="AX54" i="7" l="1"/>
  <c r="AY52" i="7"/>
  <c r="AX51" i="7"/>
  <c r="BB45" i="7"/>
  <c r="BJ49" i="7"/>
  <c r="BK44" i="7"/>
  <c r="BC3" i="7"/>
  <c r="AY8" i="7"/>
  <c r="AX10" i="7"/>
  <c r="BA59" i="7"/>
  <c r="AZ58" i="7"/>
  <c r="BR25" i="8"/>
  <c r="BQ26" i="8"/>
  <c r="BQ30" i="8"/>
  <c r="BA13" i="7"/>
  <c r="BK49" i="7" l="1"/>
  <c r="BL44" i="7"/>
  <c r="BB59" i="7"/>
  <c r="BA58" i="7"/>
  <c r="BC45" i="7"/>
  <c r="AY16" i="7"/>
  <c r="AX5" i="7"/>
  <c r="AX47" i="7"/>
  <c r="AX16" i="7"/>
  <c r="AY10" i="7"/>
  <c r="AZ8" i="7"/>
  <c r="AZ52" i="7"/>
  <c r="AY51" i="7"/>
  <c r="BD3" i="7"/>
  <c r="BS25" i="8"/>
  <c r="BR26" i="8"/>
  <c r="BR30" i="8"/>
  <c r="BR27" i="8"/>
  <c r="BR28" i="8"/>
  <c r="BB13" i="7"/>
  <c r="BD45" i="7" l="1"/>
  <c r="BE3" i="7"/>
  <c r="AZ47" i="7"/>
  <c r="AZ54" i="7"/>
  <c r="BA52" i="7"/>
  <c r="AZ51" i="7"/>
  <c r="AY47" i="7"/>
  <c r="AZ16" i="7"/>
  <c r="AY54" i="7"/>
  <c r="BC59" i="7"/>
  <c r="BB58" i="7"/>
  <c r="AY5" i="7"/>
  <c r="BL49" i="7"/>
  <c r="BM44" i="7"/>
  <c r="BA8" i="7"/>
  <c r="AZ10" i="7"/>
  <c r="BS30" i="8"/>
  <c r="BS26" i="8"/>
  <c r="BS28" i="8"/>
  <c r="BS27" i="8"/>
  <c r="BT25" i="8"/>
  <c r="BC13" i="7"/>
  <c r="BB8" i="7" l="1"/>
  <c r="BF3" i="7"/>
  <c r="BE45" i="7"/>
  <c r="BM49" i="7"/>
  <c r="BN44" i="7"/>
  <c r="BA51" i="7"/>
  <c r="BB52" i="7"/>
  <c r="AZ5" i="7"/>
  <c r="BC58" i="7"/>
  <c r="BD59" i="7"/>
  <c r="BT26" i="8"/>
  <c r="BT30" i="8"/>
  <c r="BU25" i="8"/>
  <c r="BD13" i="7"/>
  <c r="BB54" i="7" l="1"/>
  <c r="BB51" i="7"/>
  <c r="BC52" i="7"/>
  <c r="BF45" i="7"/>
  <c r="BB16" i="7"/>
  <c r="BA5" i="7"/>
  <c r="BB5" i="7"/>
  <c r="BA47" i="7"/>
  <c r="BA54" i="7"/>
  <c r="BG3" i="7"/>
  <c r="BA10" i="7"/>
  <c r="BD58" i="7"/>
  <c r="BE59" i="7"/>
  <c r="BA16" i="7"/>
  <c r="BC8" i="7"/>
  <c r="BB10" i="7"/>
  <c r="BN49" i="7"/>
  <c r="BO44" i="7"/>
  <c r="BV25" i="8"/>
  <c r="BU30" i="8"/>
  <c r="BU26" i="8"/>
  <c r="BU28" i="8"/>
  <c r="BU27" i="8"/>
  <c r="BE13" i="7"/>
  <c r="BH3" i="7" l="1"/>
  <c r="BD8" i="7"/>
  <c r="BC10" i="7"/>
  <c r="BG45" i="7"/>
  <c r="BO49" i="7"/>
  <c r="BP44" i="7"/>
  <c r="BE58" i="7"/>
  <c r="BF59" i="7"/>
  <c r="BC54" i="7"/>
  <c r="BD52" i="7"/>
  <c r="BC51" i="7"/>
  <c r="BB47" i="7"/>
  <c r="BC5" i="7"/>
  <c r="BC47" i="7"/>
  <c r="BW25" i="8"/>
  <c r="BV28" i="8"/>
  <c r="BV27" i="8"/>
  <c r="BV26" i="8"/>
  <c r="BV30" i="8"/>
  <c r="BF13" i="7"/>
  <c r="BC16" i="7" l="1"/>
  <c r="BH45" i="7"/>
  <c r="BD54" i="7"/>
  <c r="BE52" i="7"/>
  <c r="BD51" i="7"/>
  <c r="BF58" i="7"/>
  <c r="BG59" i="7"/>
  <c r="BE8" i="7"/>
  <c r="BD10" i="7"/>
  <c r="BI3" i="7"/>
  <c r="BP49" i="7"/>
  <c r="BQ44" i="7"/>
  <c r="BX25" i="8"/>
  <c r="BW30" i="8"/>
  <c r="BW26" i="8"/>
  <c r="BG13" i="7"/>
  <c r="BF8" i="7" l="1"/>
  <c r="BE10" i="7"/>
  <c r="BG58" i="7"/>
  <c r="BH59" i="7"/>
  <c r="BQ49" i="7"/>
  <c r="BR44" i="7"/>
  <c r="BE16" i="7"/>
  <c r="BD16" i="7"/>
  <c r="BE54" i="7"/>
  <c r="BF52" i="7"/>
  <c r="BE51" i="7"/>
  <c r="BD47" i="7"/>
  <c r="BJ3" i="7"/>
  <c r="BE47" i="7"/>
  <c r="BI45" i="7"/>
  <c r="BD5" i="7"/>
  <c r="BX27" i="8"/>
  <c r="BY25" i="8"/>
  <c r="BX26" i="8"/>
  <c r="BX28" i="8"/>
  <c r="BX30" i="8"/>
  <c r="BH13" i="7"/>
  <c r="BE5" i="7" l="1"/>
  <c r="BR49" i="7"/>
  <c r="BS44" i="7"/>
  <c r="BJ45" i="7"/>
  <c r="BF54" i="7"/>
  <c r="BF51" i="7"/>
  <c r="BG52" i="7"/>
  <c r="BI59" i="7"/>
  <c r="BH58" i="7"/>
  <c r="BK3" i="7"/>
  <c r="BG8" i="7"/>
  <c r="BF10" i="7"/>
  <c r="BF5" i="7"/>
  <c r="BY30" i="8"/>
  <c r="BY27" i="8"/>
  <c r="BZ25" i="8"/>
  <c r="CA25" i="8" s="1"/>
  <c r="BY26" i="8"/>
  <c r="BY28" i="8"/>
  <c r="BI13" i="7"/>
  <c r="BK45" i="7" l="1"/>
  <c r="BS49" i="7"/>
  <c r="BT44" i="7"/>
  <c r="BJ59" i="7"/>
  <c r="BI58" i="7"/>
  <c r="BG54" i="7"/>
  <c r="BH52" i="7"/>
  <c r="BG51" i="7"/>
  <c r="BL3" i="7"/>
  <c r="BF47" i="7"/>
  <c r="BG5" i="7"/>
  <c r="BG16" i="7"/>
  <c r="BH8" i="7"/>
  <c r="BG10" i="7"/>
  <c r="BF16" i="7"/>
  <c r="CA28" i="8"/>
  <c r="CB25" i="8"/>
  <c r="CA26" i="8"/>
  <c r="CA30" i="8"/>
  <c r="CA27" i="8"/>
  <c r="BJ13" i="7"/>
  <c r="BK59" i="7" l="1"/>
  <c r="BJ58" i="7"/>
  <c r="BT49" i="7"/>
  <c r="BU44" i="7"/>
  <c r="BH10" i="7"/>
  <c r="BI8" i="7"/>
  <c r="BM3" i="7"/>
  <c r="BL45" i="7"/>
  <c r="BH16" i="7"/>
  <c r="BH54" i="7"/>
  <c r="BI52" i="7"/>
  <c r="BH51" i="7"/>
  <c r="BG47" i="7"/>
  <c r="CB28" i="8"/>
  <c r="CC25" i="8"/>
  <c r="CB27" i="8"/>
  <c r="CB26" i="8"/>
  <c r="CB30" i="8"/>
  <c r="BK13" i="7"/>
  <c r="BJ8" i="7" l="1"/>
  <c r="BU49" i="7"/>
  <c r="BV44" i="7"/>
  <c r="BM45" i="7"/>
  <c r="BH5" i="7"/>
  <c r="BI16" i="7"/>
  <c r="BI5" i="7"/>
  <c r="BH47" i="7"/>
  <c r="BI54" i="7"/>
  <c r="BI51" i="7"/>
  <c r="BJ52" i="7"/>
  <c r="BN3" i="7"/>
  <c r="BK58" i="7"/>
  <c r="BL59" i="7"/>
  <c r="CD25" i="8"/>
  <c r="CC30" i="8"/>
  <c r="CC26" i="8"/>
  <c r="BL13" i="7"/>
  <c r="BM59" i="7" l="1"/>
  <c r="BL58" i="7"/>
  <c r="BV49" i="7"/>
  <c r="BW44" i="7"/>
  <c r="BN45" i="7"/>
  <c r="BO3" i="7"/>
  <c r="BI10" i="7"/>
  <c r="BK52" i="7"/>
  <c r="BJ51" i="7"/>
  <c r="BJ10" i="7"/>
  <c r="BK8" i="7"/>
  <c r="BI47" i="7"/>
  <c r="BJ47" i="7"/>
  <c r="BJ5" i="7"/>
  <c r="CD26" i="8"/>
  <c r="CE25" i="8"/>
  <c r="CD30" i="8"/>
  <c r="CD28" i="8"/>
  <c r="CD27" i="8"/>
  <c r="BM13" i="7"/>
  <c r="BO45" i="7" l="1"/>
  <c r="BK51" i="7"/>
  <c r="BL52" i="7"/>
  <c r="BJ54" i="7"/>
  <c r="BW49" i="7"/>
  <c r="BX44" i="7"/>
  <c r="BJ16" i="7"/>
  <c r="BN59" i="7"/>
  <c r="BM58" i="7"/>
  <c r="BL8" i="7"/>
  <c r="BP3" i="7"/>
  <c r="CE27" i="8"/>
  <c r="CE26" i="8"/>
  <c r="CF25" i="8"/>
  <c r="CE28" i="8"/>
  <c r="CE30" i="8"/>
  <c r="BN13" i="7"/>
  <c r="BK54" i="7" l="1"/>
  <c r="BK5" i="7"/>
  <c r="BP45" i="7"/>
  <c r="BL5" i="7"/>
  <c r="BQ3" i="7"/>
  <c r="BX49" i="7"/>
  <c r="BY44" i="7"/>
  <c r="BL47" i="7"/>
  <c r="BN58" i="7"/>
  <c r="BO59" i="7"/>
  <c r="BK10" i="7"/>
  <c r="BK16" i="7"/>
  <c r="BK47" i="7"/>
  <c r="BM8" i="7"/>
  <c r="BL10" i="7"/>
  <c r="BL54" i="7"/>
  <c r="BL51" i="7"/>
  <c r="BM52" i="7"/>
  <c r="CF26" i="8"/>
  <c r="CG25" i="8"/>
  <c r="CF30" i="8"/>
  <c r="BO13" i="7"/>
  <c r="BN8" i="7" l="1"/>
  <c r="BY49" i="7"/>
  <c r="BZ44" i="7"/>
  <c r="BQ45" i="7"/>
  <c r="BR3" i="7"/>
  <c r="BM54" i="7"/>
  <c r="BM51" i="7"/>
  <c r="BM5" i="7" s="1"/>
  <c r="BN52" i="7"/>
  <c r="BO58" i="7"/>
  <c r="BP59" i="7"/>
  <c r="BL16" i="7"/>
  <c r="CG28" i="8"/>
  <c r="CG27" i="8"/>
  <c r="CG26" i="8"/>
  <c r="CH25" i="8"/>
  <c r="CG30" i="8"/>
  <c r="BP13" i="7"/>
  <c r="BZ49" i="7" l="1"/>
  <c r="CA44" i="7"/>
  <c r="BQ59" i="7"/>
  <c r="BP58" i="7"/>
  <c r="BS3" i="7"/>
  <c r="BM10" i="7"/>
  <c r="BR45" i="7"/>
  <c r="BN10" i="7"/>
  <c r="BO8" i="7"/>
  <c r="BM47" i="7"/>
  <c r="BM16" i="7"/>
  <c r="BN51" i="7"/>
  <c r="BO52" i="7"/>
  <c r="BN16" i="7"/>
  <c r="CH26" i="8"/>
  <c r="CI25" i="8"/>
  <c r="CH28" i="8"/>
  <c r="CH27" i="8"/>
  <c r="CH30" i="8"/>
  <c r="BQ13" i="7"/>
  <c r="BN5" i="7" l="1"/>
  <c r="BN47" i="7"/>
  <c r="BN54" i="7"/>
  <c r="BS45" i="7"/>
  <c r="BR59" i="7"/>
  <c r="BQ58" i="7"/>
  <c r="BO54" i="7"/>
  <c r="BP52" i="7"/>
  <c r="BO51" i="7"/>
  <c r="CA49" i="7"/>
  <c r="CB44" i="7"/>
  <c r="BO16" i="7"/>
  <c r="BP8" i="7"/>
  <c r="BO10" i="7"/>
  <c r="BT3" i="7"/>
  <c r="CJ25" i="8"/>
  <c r="CI30" i="8"/>
  <c r="CI26" i="8"/>
  <c r="BR13" i="7"/>
  <c r="CB49" i="7" l="1"/>
  <c r="CC44" i="7"/>
  <c r="BT45" i="7"/>
  <c r="BU3" i="7"/>
  <c r="BO47" i="7"/>
  <c r="BP5" i="7"/>
  <c r="BR58" i="7"/>
  <c r="BS59" i="7"/>
  <c r="BP54" i="7"/>
  <c r="BQ52" i="7"/>
  <c r="BP51" i="7"/>
  <c r="BO5" i="7"/>
  <c r="BQ8" i="7"/>
  <c r="BP10" i="7"/>
  <c r="CJ27" i="8"/>
  <c r="CJ28" i="8"/>
  <c r="CK25" i="8"/>
  <c r="CJ26" i="8"/>
  <c r="CJ30" i="8"/>
  <c r="BS13" i="7"/>
  <c r="BS58" i="7" l="1"/>
  <c r="BT59" i="7"/>
  <c r="BV3" i="7"/>
  <c r="BR52" i="7"/>
  <c r="BQ51" i="7"/>
  <c r="BU45" i="7"/>
  <c r="BR8" i="7"/>
  <c r="CC49" i="7"/>
  <c r="CD44" i="7"/>
  <c r="BQ47" i="7"/>
  <c r="BP47" i="7"/>
  <c r="BP16" i="7"/>
  <c r="CK28" i="8"/>
  <c r="CK30" i="8"/>
  <c r="CK26" i="8"/>
  <c r="CL25" i="8"/>
  <c r="CK27" i="8"/>
  <c r="BT13" i="7"/>
  <c r="CD49" i="7" l="1"/>
  <c r="CE44" i="7"/>
  <c r="BR54" i="7"/>
  <c r="BR51" i="7"/>
  <c r="BR5" i="7" s="1"/>
  <c r="BS52" i="7"/>
  <c r="BQ54" i="7"/>
  <c r="BQ10" i="7"/>
  <c r="BS8" i="7"/>
  <c r="BR10" i="7"/>
  <c r="BW3" i="7"/>
  <c r="BQ16" i="7"/>
  <c r="BR16" i="7"/>
  <c r="BT58" i="7"/>
  <c r="BU59" i="7"/>
  <c r="BR47" i="7"/>
  <c r="BV45" i="7"/>
  <c r="BQ5" i="7"/>
  <c r="CM25" i="8"/>
  <c r="BU13" i="7"/>
  <c r="BS54" i="7" l="1"/>
  <c r="BS51" i="7"/>
  <c r="BT52" i="7"/>
  <c r="BV59" i="7"/>
  <c r="BU58" i="7"/>
  <c r="BX3" i="7"/>
  <c r="BW45" i="7"/>
  <c r="BT8" i="7"/>
  <c r="BS10" i="7"/>
  <c r="CE49" i="7"/>
  <c r="CF44" i="7"/>
  <c r="CM26" i="8"/>
  <c r="CM27" i="8"/>
  <c r="CN25" i="8"/>
  <c r="CM30" i="8"/>
  <c r="CM28" i="8"/>
  <c r="BV13" i="7"/>
  <c r="BY3" i="7" l="1"/>
  <c r="CF49" i="7"/>
  <c r="CG44" i="7"/>
  <c r="BW59" i="7"/>
  <c r="BV58" i="7"/>
  <c r="BT54" i="7"/>
  <c r="BT51" i="7"/>
  <c r="BU52" i="7"/>
  <c r="BU8" i="7"/>
  <c r="BT10" i="7"/>
  <c r="BS5" i="7"/>
  <c r="BT16" i="7"/>
  <c r="BT5" i="7"/>
  <c r="BT47" i="7"/>
  <c r="BS16" i="7"/>
  <c r="BS47" i="7"/>
  <c r="BX45" i="7"/>
  <c r="CN28" i="8"/>
  <c r="CO25" i="8"/>
  <c r="CN27" i="8"/>
  <c r="CN26" i="8"/>
  <c r="CN30" i="8"/>
  <c r="BW13" i="7"/>
  <c r="BX59" i="7" l="1"/>
  <c r="BW58" i="7"/>
  <c r="BY45" i="7"/>
  <c r="CG49" i="7"/>
  <c r="CH44" i="7"/>
  <c r="BV8" i="7"/>
  <c r="BU10" i="7"/>
  <c r="BU54" i="7"/>
  <c r="BV52" i="7"/>
  <c r="BU51" i="7"/>
  <c r="BU16" i="7"/>
  <c r="BZ3" i="7"/>
  <c r="CP25" i="8"/>
  <c r="CO30" i="8"/>
  <c r="CO26" i="8"/>
  <c r="BX13" i="7"/>
  <c r="CH49" i="7" l="1"/>
  <c r="CI44" i="7"/>
  <c r="BU5" i="7"/>
  <c r="BU47" i="7"/>
  <c r="BZ45" i="7"/>
  <c r="BV54" i="7"/>
  <c r="BV51" i="7"/>
  <c r="BV5" i="7" s="1"/>
  <c r="BW52" i="7"/>
  <c r="BY59" i="7"/>
  <c r="BX58" i="7"/>
  <c r="CA3" i="7"/>
  <c r="BV10" i="7"/>
  <c r="BW8" i="7"/>
  <c r="CP26" i="8"/>
  <c r="CQ25" i="8"/>
  <c r="CP30" i="8"/>
  <c r="CP28" i="8"/>
  <c r="CP27" i="8"/>
  <c r="BY13" i="7"/>
  <c r="BZ59" i="7" l="1"/>
  <c r="BY58" i="7"/>
  <c r="BW54" i="7"/>
  <c r="BW51" i="7"/>
  <c r="BX52" i="7"/>
  <c r="BW10" i="7"/>
  <c r="BX8" i="7"/>
  <c r="BW16" i="7"/>
  <c r="BW5" i="7"/>
  <c r="BV47" i="7"/>
  <c r="BV16" i="7"/>
  <c r="CA45" i="7"/>
  <c r="CJ44" i="7"/>
  <c r="CI49" i="7"/>
  <c r="CB3" i="7"/>
  <c r="CQ28" i="8"/>
  <c r="CQ26" i="8"/>
  <c r="CR25" i="8"/>
  <c r="CQ27" i="8"/>
  <c r="CQ30" i="8"/>
  <c r="BZ13" i="7"/>
  <c r="BX10" i="7" l="1"/>
  <c r="BY8" i="7"/>
  <c r="CC3" i="7"/>
  <c r="BY52" i="7"/>
  <c r="BX51" i="7"/>
  <c r="BX16" i="7"/>
  <c r="BW47" i="7"/>
  <c r="CK44" i="7"/>
  <c r="CJ49" i="7"/>
  <c r="CB45" i="7"/>
  <c r="CA59" i="7"/>
  <c r="BZ58" i="7"/>
  <c r="CS25" i="8"/>
  <c r="CR30" i="8"/>
  <c r="CR26" i="8"/>
  <c r="CA13" i="7"/>
  <c r="CB59" i="7" l="1"/>
  <c r="CA58" i="7"/>
  <c r="BY54" i="7"/>
  <c r="BZ52" i="7"/>
  <c r="BY51" i="7"/>
  <c r="BX47" i="7"/>
  <c r="BY5" i="7"/>
  <c r="BY47" i="7"/>
  <c r="BX5" i="7"/>
  <c r="BY16" i="7"/>
  <c r="CC45" i="7"/>
  <c r="BX54" i="7"/>
  <c r="CD3" i="7"/>
  <c r="CL44" i="7"/>
  <c r="CK49" i="7"/>
  <c r="BZ8" i="7"/>
  <c r="BY10" i="7"/>
  <c r="CT25" i="8"/>
  <c r="CS30" i="8"/>
  <c r="CS28" i="8"/>
  <c r="CS26" i="8"/>
  <c r="CS27" i="8"/>
  <c r="CB13" i="7"/>
  <c r="CA8" i="7" l="1"/>
  <c r="CM44" i="7"/>
  <c r="CL49" i="7"/>
  <c r="BZ51" i="7"/>
  <c r="CA52" i="7"/>
  <c r="CE3" i="7"/>
  <c r="CD45" i="7"/>
  <c r="CB58" i="7"/>
  <c r="CC59" i="7"/>
  <c r="CU25" i="8"/>
  <c r="CT30" i="8"/>
  <c r="CT26" i="8"/>
  <c r="CT28" i="8"/>
  <c r="CT27" i="8"/>
  <c r="CC13" i="7"/>
  <c r="CA54" i="7" l="1"/>
  <c r="CA51" i="7"/>
  <c r="CB52" i="7"/>
  <c r="CC58" i="7"/>
  <c r="CD59" i="7"/>
  <c r="BZ5" i="7"/>
  <c r="BZ16" i="7"/>
  <c r="CA5" i="7"/>
  <c r="BZ47" i="7"/>
  <c r="BZ54" i="7"/>
  <c r="CE45" i="7"/>
  <c r="CN44" i="7"/>
  <c r="CM49" i="7"/>
  <c r="CF3" i="7"/>
  <c r="CB8" i="7"/>
  <c r="CA10" i="7"/>
  <c r="BZ10" i="7"/>
  <c r="CV25" i="8"/>
  <c r="CU26" i="8"/>
  <c r="CU30" i="8"/>
  <c r="CD13" i="7"/>
  <c r="CC8" i="7" l="1"/>
  <c r="CF45" i="7"/>
  <c r="CE59" i="7"/>
  <c r="CD58" i="7"/>
  <c r="CG3" i="7"/>
  <c r="CB54" i="7"/>
  <c r="CC52" i="7"/>
  <c r="CB51" i="7"/>
  <c r="CO44" i="7"/>
  <c r="CN49" i="7"/>
  <c r="CA47" i="7"/>
  <c r="CA16" i="7"/>
  <c r="CV27" i="8"/>
  <c r="CV26" i="8"/>
  <c r="CW25" i="8"/>
  <c r="CV30" i="8"/>
  <c r="CV28" i="8"/>
  <c r="CE13" i="7"/>
  <c r="CF59" i="7" l="1"/>
  <c r="CE58" i="7"/>
  <c r="CP44" i="7"/>
  <c r="CO49" i="7"/>
  <c r="CG45" i="7"/>
  <c r="CH3" i="7"/>
  <c r="CB16" i="7"/>
  <c r="CB47" i="7"/>
  <c r="CC16" i="7"/>
  <c r="CB5" i="7"/>
  <c r="CC5" i="7"/>
  <c r="CC54" i="7"/>
  <c r="CC51" i="7"/>
  <c r="CD52" i="7"/>
  <c r="CC10" i="7"/>
  <c r="CD8" i="7"/>
  <c r="CB10" i="7"/>
  <c r="CW28" i="8"/>
  <c r="CX25" i="8"/>
  <c r="CW27" i="8"/>
  <c r="CW26" i="8"/>
  <c r="CW30" i="8"/>
  <c r="CF13" i="7"/>
  <c r="CE52" i="7" l="1"/>
  <c r="CD54" i="7"/>
  <c r="CD51" i="7"/>
  <c r="CH45" i="7"/>
  <c r="CD16" i="7"/>
  <c r="CI3" i="7"/>
  <c r="CD5" i="7"/>
  <c r="CQ44" i="7"/>
  <c r="CP49" i="7"/>
  <c r="CE8" i="7"/>
  <c r="CD10" i="7"/>
  <c r="CC47" i="7"/>
  <c r="CG59" i="7"/>
  <c r="CF58" i="7"/>
  <c r="CY25" i="8"/>
  <c r="CG13" i="7"/>
  <c r="CF8" i="7" l="1"/>
  <c r="CR44" i="7"/>
  <c r="CQ49" i="7"/>
  <c r="CI45" i="7"/>
  <c r="CD47" i="7"/>
  <c r="CE5" i="7"/>
  <c r="CH4" i="7" s="1"/>
  <c r="CH59" i="7"/>
  <c r="CG58" i="7"/>
  <c r="CJ3" i="7"/>
  <c r="CE51" i="7"/>
  <c r="CE54" i="7"/>
  <c r="CF52" i="7"/>
  <c r="CY30" i="8"/>
  <c r="CY26" i="8"/>
  <c r="CY28" i="8"/>
  <c r="CZ25" i="8"/>
  <c r="CY27" i="8"/>
  <c r="CH13" i="7"/>
  <c r="CG4" i="7" l="1"/>
  <c r="CF4" i="7"/>
  <c r="CH15" i="7"/>
  <c r="CS6" i="7"/>
  <c r="CH38" i="7"/>
  <c r="CJ45" i="7"/>
  <c r="CK3" i="7"/>
  <c r="M12" i="12"/>
  <c r="M84" i="1"/>
  <c r="N12" i="12"/>
  <c r="H84" i="1"/>
  <c r="L12" i="12"/>
  <c r="K12" i="12"/>
  <c r="P12" i="12"/>
  <c r="O12" i="12"/>
  <c r="J12" i="12"/>
  <c r="I12" i="12"/>
  <c r="H12" i="12"/>
  <c r="G12" i="12"/>
  <c r="F12" i="12"/>
  <c r="CE47" i="7"/>
  <c r="CH58" i="7"/>
  <c r="CI59" i="7"/>
  <c r="CS44" i="7"/>
  <c r="CR49" i="7"/>
  <c r="CF51" i="7"/>
  <c r="CG52" i="7"/>
  <c r="CF54" i="7"/>
  <c r="CE16" i="7"/>
  <c r="CE10" i="7"/>
  <c r="CH9" i="7" s="1"/>
  <c r="CG8" i="7"/>
  <c r="CZ30" i="8"/>
  <c r="CZ28" i="8"/>
  <c r="DA25" i="8"/>
  <c r="CZ26" i="8"/>
  <c r="CZ27" i="8"/>
  <c r="CI13" i="7"/>
  <c r="CF10" i="7" l="1"/>
  <c r="CH8" i="7"/>
  <c r="CT44" i="7"/>
  <c r="CS49" i="7"/>
  <c r="CF16" i="7"/>
  <c r="CF47" i="7"/>
  <c r="CI58" i="7"/>
  <c r="CJ59" i="7"/>
  <c r="CQ11" i="7"/>
  <c r="CK11" i="7"/>
  <c r="CR11" i="7"/>
  <c r="CH11" i="7"/>
  <c r="CS11" i="7"/>
  <c r="CJ11" i="7"/>
  <c r="CL11" i="7"/>
  <c r="CI11" i="7"/>
  <c r="CM11" i="7"/>
  <c r="CN11" i="7"/>
  <c r="CP11" i="7"/>
  <c r="CO11" i="7"/>
  <c r="CF15" i="7"/>
  <c r="CQ6" i="7"/>
  <c r="CP6" i="7"/>
  <c r="CJ6" i="7"/>
  <c r="CK6" i="7"/>
  <c r="CM6" i="7"/>
  <c r="CL6" i="7"/>
  <c r="CI6" i="7"/>
  <c r="CH6" i="7"/>
  <c r="CN6" i="7"/>
  <c r="CO6" i="7"/>
  <c r="CG6" i="7"/>
  <c r="CF6" i="7"/>
  <c r="CF38" i="7"/>
  <c r="CK45" i="7"/>
  <c r="CL3" i="7"/>
  <c r="CG15" i="7"/>
  <c r="CR6" i="7"/>
  <c r="CG38" i="7"/>
  <c r="CG47" i="7"/>
  <c r="CG51" i="7"/>
  <c r="CH52" i="7"/>
  <c r="CG54" i="7"/>
  <c r="CF5" i="7"/>
  <c r="CG16" i="7"/>
  <c r="DA26" i="8"/>
  <c r="DA30" i="8"/>
  <c r="DB25" i="8"/>
  <c r="CJ13" i="7"/>
  <c r="N84" i="1" l="1"/>
  <c r="CU44" i="7"/>
  <c r="CT49" i="7"/>
  <c r="CG10" i="7"/>
  <c r="CH10" i="7"/>
  <c r="CI8" i="7"/>
  <c r="CH51" i="7"/>
  <c r="CH54" i="7"/>
  <c r="CI52" i="7"/>
  <c r="CJ58" i="7"/>
  <c r="CK59" i="7"/>
  <c r="CH5" i="7"/>
  <c r="CM3" i="7"/>
  <c r="CG5" i="7"/>
  <c r="CL45" i="7"/>
  <c r="CH16" i="7"/>
  <c r="DC25" i="8"/>
  <c r="DB28" i="8"/>
  <c r="DB27" i="8"/>
  <c r="DB26" i="8"/>
  <c r="DB30" i="8"/>
  <c r="CK13" i="7"/>
  <c r="CJ8" i="7" l="1"/>
  <c r="CI10" i="7"/>
  <c r="CK58" i="7"/>
  <c r="CL59" i="7"/>
  <c r="CN3" i="7"/>
  <c r="CM45" i="7"/>
  <c r="CI54" i="7"/>
  <c r="CI51" i="7"/>
  <c r="CJ52" i="7"/>
  <c r="CV44" i="7"/>
  <c r="CU49" i="7"/>
  <c r="CH47" i="7"/>
  <c r="CI47" i="7"/>
  <c r="CI16" i="7"/>
  <c r="DC26" i="8"/>
  <c r="DC28" i="8"/>
  <c r="DC27" i="8"/>
  <c r="DD25" i="8"/>
  <c r="DC30" i="8"/>
  <c r="CL13" i="7"/>
  <c r="CN45" i="7" l="1"/>
  <c r="L13" i="12"/>
  <c r="CK8" i="7"/>
  <c r="CJ10" i="7"/>
  <c r="K13" i="12"/>
  <c r="N13" i="12"/>
  <c r="P13" i="12"/>
  <c r="O13" i="12"/>
  <c r="M13" i="12"/>
  <c r="J13" i="12"/>
  <c r="I13" i="12"/>
  <c r="H13" i="12"/>
  <c r="G13" i="12"/>
  <c r="F13" i="12"/>
  <c r="V12" i="12"/>
  <c r="R54" i="12"/>
  <c r="CW44" i="7"/>
  <c r="CV49" i="7"/>
  <c r="CO3" i="7"/>
  <c r="CJ54" i="7"/>
  <c r="CK52" i="7"/>
  <c r="CJ51" i="7"/>
  <c r="CI5" i="7"/>
  <c r="CM59" i="7"/>
  <c r="CL58" i="7"/>
  <c r="DD26" i="8"/>
  <c r="DE25" i="8"/>
  <c r="DD30" i="8"/>
  <c r="CM13" i="7"/>
  <c r="CN59" i="7" l="1"/>
  <c r="CM58" i="7"/>
  <c r="CL8" i="7"/>
  <c r="CP3" i="7"/>
  <c r="CX44" i="7"/>
  <c r="CW49" i="7"/>
  <c r="CK16" i="7"/>
  <c r="CJ5" i="7"/>
  <c r="CJ47" i="7"/>
  <c r="CJ16" i="7"/>
  <c r="CL52" i="7"/>
  <c r="CK51" i="7"/>
  <c r="CK5" i="7" s="1"/>
  <c r="CO45" i="7"/>
  <c r="DE28" i="8"/>
  <c r="DE27" i="8"/>
  <c r="DF25" i="8"/>
  <c r="DE26" i="8"/>
  <c r="DE30" i="8"/>
  <c r="CN13" i="7"/>
  <c r="CQ3" i="7" l="1"/>
  <c r="CK10" i="7"/>
  <c r="CP45" i="7"/>
  <c r="CL54" i="7"/>
  <c r="CM52" i="7"/>
  <c r="CL51" i="7"/>
  <c r="CM8" i="7"/>
  <c r="CL10" i="7"/>
  <c r="CK47" i="7"/>
  <c r="CL5" i="7"/>
  <c r="CL16" i="7"/>
  <c r="CK54" i="7"/>
  <c r="CX49" i="7"/>
  <c r="CO59" i="7"/>
  <c r="CN58" i="7"/>
  <c r="DF28" i="8"/>
  <c r="DF27" i="8"/>
  <c r="DG25" i="8"/>
  <c r="DF30" i="8"/>
  <c r="DF26" i="8"/>
  <c r="CO13" i="7"/>
  <c r="CQ45" i="7" l="1"/>
  <c r="CP59" i="7"/>
  <c r="CO58" i="7"/>
  <c r="CN8" i="7"/>
  <c r="CM10" i="7"/>
  <c r="CL47" i="7"/>
  <c r="CM5" i="7"/>
  <c r="CM54" i="7"/>
  <c r="CN52" i="7"/>
  <c r="CM51" i="7"/>
  <c r="CR3" i="7"/>
  <c r="DG26" i="8"/>
  <c r="DG30" i="8"/>
  <c r="DH25" i="8"/>
  <c r="CP13" i="7"/>
  <c r="CN54" i="7" l="1"/>
  <c r="CO52" i="7"/>
  <c r="CN51" i="7"/>
  <c r="CO8" i="7"/>
  <c r="CN10" i="7"/>
  <c r="CQ59" i="7"/>
  <c r="CP58" i="7"/>
  <c r="CS3" i="7"/>
  <c r="CM47" i="7"/>
  <c r="CM16" i="7"/>
  <c r="CN16" i="7"/>
  <c r="CN5" i="7"/>
  <c r="CR45" i="7"/>
  <c r="DH26" i="8"/>
  <c r="DH28" i="8"/>
  <c r="DH27" i="8"/>
  <c r="DI25" i="8"/>
  <c r="DH30" i="8"/>
  <c r="CQ13" i="7"/>
  <c r="CP8" i="7" l="1"/>
  <c r="CQ58" i="7"/>
  <c r="CR59" i="7"/>
  <c r="CT3" i="7"/>
  <c r="CN47" i="7"/>
  <c r="CS45" i="7"/>
  <c r="CO54" i="7"/>
  <c r="CP52" i="7"/>
  <c r="CO51" i="7"/>
  <c r="CO5" i="7" s="1"/>
  <c r="DI30" i="8"/>
  <c r="DI27" i="8"/>
  <c r="DJ25" i="8"/>
  <c r="DI26" i="8"/>
  <c r="DI28" i="8"/>
  <c r="CR13" i="7"/>
  <c r="CU3" i="7" l="1"/>
  <c r="CT45" i="7"/>
  <c r="CO47" i="7"/>
  <c r="CP16" i="7"/>
  <c r="CO16" i="7"/>
  <c r="CR58" i="7"/>
  <c r="CS59" i="7"/>
  <c r="CP54" i="7"/>
  <c r="CQ52" i="7"/>
  <c r="CP51" i="7"/>
  <c r="CP47" i="7"/>
  <c r="CP10" i="7"/>
  <c r="CQ8" i="7"/>
  <c r="CO10" i="7"/>
  <c r="DK25" i="8"/>
  <c r="CS13" i="7"/>
  <c r="CQ10" i="7" l="1"/>
  <c r="CR8" i="7"/>
  <c r="CS58" i="7"/>
  <c r="CT59" i="7"/>
  <c r="CU45" i="7"/>
  <c r="CQ54" i="7"/>
  <c r="CQ51" i="7"/>
  <c r="CR52" i="7"/>
  <c r="CP5" i="7"/>
  <c r="CQ16" i="7"/>
  <c r="CQ47" i="7"/>
  <c r="CV3" i="7"/>
  <c r="Q12" i="12"/>
  <c r="R12" i="12" s="1"/>
  <c r="T12" i="12" s="1"/>
  <c r="U54" i="12"/>
  <c r="DL25" i="8"/>
  <c r="DK30" i="8"/>
  <c r="DK28" i="8"/>
  <c r="DK27" i="8"/>
  <c r="DK26" i="8"/>
  <c r="CT13" i="7"/>
  <c r="CV45" i="7" l="1"/>
  <c r="W54" i="12"/>
  <c r="CT58" i="7"/>
  <c r="CU59" i="7"/>
  <c r="CR54" i="7"/>
  <c r="CS52" i="7"/>
  <c r="CR51" i="7"/>
  <c r="CR5" i="7"/>
  <c r="CQ5" i="7"/>
  <c r="CR16" i="7"/>
  <c r="CR10" i="7"/>
  <c r="CS8" i="7"/>
  <c r="CW3" i="7"/>
  <c r="DL26" i="8"/>
  <c r="DM25" i="8"/>
  <c r="DL30" i="8"/>
  <c r="DL28" i="8"/>
  <c r="DL27" i="8"/>
  <c r="CU13" i="7"/>
  <c r="CU58" i="7" l="1"/>
  <c r="CV59" i="7"/>
  <c r="CT8" i="7"/>
  <c r="CR47" i="7"/>
  <c r="CX3" i="7"/>
  <c r="CT52" i="7"/>
  <c r="CS51" i="7"/>
  <c r="CS16" i="7" s="1"/>
  <c r="CW45" i="7"/>
  <c r="E55" i="1"/>
  <c r="F55" i="1" s="1"/>
  <c r="G55" i="1" s="1"/>
  <c r="I55" i="1" s="1"/>
  <c r="E54" i="1"/>
  <c r="F54" i="1" s="1"/>
  <c r="G54" i="1" s="1"/>
  <c r="I54" i="1" s="1"/>
  <c r="E56" i="1"/>
  <c r="F56" i="1" s="1"/>
  <c r="G56" i="1" s="1"/>
  <c r="I56" i="1" s="1"/>
  <c r="DM30" i="8"/>
  <c r="E57" i="1" s="1"/>
  <c r="F57" i="1" s="1"/>
  <c r="G57" i="1" s="1"/>
  <c r="I57" i="1" s="1"/>
  <c r="DM26" i="8"/>
  <c r="E53" i="1" s="1"/>
  <c r="F53" i="1" s="1"/>
  <c r="G53" i="1" s="1"/>
  <c r="I53" i="1" s="1"/>
  <c r="CV13" i="7"/>
  <c r="CT54" i="7" l="1"/>
  <c r="CU52" i="7"/>
  <c r="CT51" i="7"/>
  <c r="CS47" i="7"/>
  <c r="CT16" i="7"/>
  <c r="CS54" i="7"/>
  <c r="CT5" i="7"/>
  <c r="CT10" i="7"/>
  <c r="CU8" i="7"/>
  <c r="CS10" i="7"/>
  <c r="CS5" i="7"/>
  <c r="CV58" i="7"/>
  <c r="CW59" i="7"/>
  <c r="CX45" i="7"/>
  <c r="CT47" i="7"/>
  <c r="L6" i="12"/>
  <c r="CW13" i="7"/>
  <c r="CV8" i="7" l="1"/>
  <c r="CU10" i="7"/>
  <c r="Q13" i="12"/>
  <c r="S12" i="12" s="1"/>
  <c r="W12" i="12"/>
  <c r="V54" i="12"/>
  <c r="CX59" i="7"/>
  <c r="CW58" i="7"/>
  <c r="CU54" i="7"/>
  <c r="CU51" i="7"/>
  <c r="CV52" i="7"/>
  <c r="F54" i="12"/>
  <c r="CX13" i="7"/>
  <c r="CU16" i="7" l="1"/>
  <c r="CU47" i="7"/>
  <c r="U12" i="12"/>
  <c r="CW8" i="7"/>
  <c r="CV54" i="7"/>
  <c r="CW52" i="7"/>
  <c r="CV51" i="7"/>
  <c r="CU5" i="7"/>
  <c r="CX58" i="7"/>
  <c r="CW54" i="7" l="1"/>
  <c r="CX52" i="7"/>
  <c r="CW51" i="7"/>
  <c r="CV47" i="7"/>
  <c r="CV10" i="7"/>
  <c r="CV5" i="7"/>
  <c r="CX8" i="7"/>
  <c r="CW10" i="7"/>
  <c r="I83" i="1" s="1"/>
  <c r="CV16" i="7"/>
  <c r="I84" i="1"/>
  <c r="I85" i="1" l="1"/>
  <c r="I86" i="1" s="1"/>
  <c r="I75" i="1"/>
  <c r="CW47" i="7"/>
  <c r="CX51" i="7"/>
  <c r="CX10" i="7"/>
  <c r="CW16" i="7"/>
  <c r="CX5" i="7" l="1"/>
  <c r="CX54" i="7"/>
  <c r="CX16" i="7"/>
  <c r="CX47" i="7"/>
  <c r="E84" i="1" l="1"/>
  <c r="H83" i="1"/>
  <c r="F83" i="1"/>
  <c r="S4" i="11"/>
  <c r="L4" i="11"/>
  <c r="F84" i="1"/>
  <c r="T4" i="11"/>
  <c r="C84" i="1"/>
  <c r="M4" i="11"/>
  <c r="E83" i="1"/>
  <c r="I4" i="11"/>
  <c r="D84" i="1"/>
  <c r="G4" i="11"/>
  <c r="N4" i="11"/>
  <c r="D83" i="1"/>
  <c r="C83" i="1"/>
  <c r="J4" i="11"/>
  <c r="Q4" i="11"/>
  <c r="K4" i="11"/>
  <c r="F4" i="11"/>
  <c r="R4" i="11"/>
  <c r="P4" i="11"/>
  <c r="H4" i="11"/>
  <c r="D4" i="11"/>
  <c r="E4" i="11"/>
  <c r="C4" i="11"/>
  <c r="D85" i="1" l="1"/>
  <c r="D86" i="1" s="1"/>
  <c r="D75" i="1"/>
  <c r="F85" i="1"/>
  <c r="F86" i="1" s="1"/>
  <c r="F75" i="1"/>
  <c r="C85" i="1"/>
  <c r="C86" i="1" s="1"/>
  <c r="C75" i="1"/>
  <c r="E75" i="1"/>
  <c r="E85" i="1"/>
  <c r="E86" i="1" s="1"/>
  <c r="H85" i="1"/>
  <c r="H75" i="1"/>
  <c r="J83" i="1"/>
  <c r="K83" i="1"/>
  <c r="M54" i="12"/>
  <c r="G54" i="12"/>
  <c r="K10" i="11"/>
  <c r="N10" i="11"/>
  <c r="K54" i="12"/>
  <c r="I54" i="12"/>
  <c r="M10" i="11"/>
  <c r="L10" i="11"/>
  <c r="I10" i="11"/>
  <c r="J10" i="11"/>
  <c r="H10" i="11"/>
  <c r="G10" i="11"/>
  <c r="F10" i="11"/>
  <c r="D10" i="11"/>
  <c r="E10" i="11"/>
  <c r="C10" i="11"/>
  <c r="T5" i="11" l="1"/>
  <c r="L5" i="11"/>
  <c r="N5" i="11"/>
  <c r="K5" i="11"/>
  <c r="M5" i="11"/>
  <c r="H5" i="11"/>
  <c r="Q5" i="11"/>
  <c r="J5" i="11"/>
  <c r="S5" i="11"/>
  <c r="I5" i="11"/>
  <c r="R5" i="11"/>
  <c r="F5" i="11"/>
  <c r="E5" i="11"/>
  <c r="P5" i="11"/>
  <c r="G5" i="11"/>
  <c r="D5" i="11"/>
  <c r="C5" i="11"/>
  <c r="H86" i="1"/>
  <c r="K86" i="1" s="1"/>
  <c r="K85" i="1"/>
  <c r="J85" i="1"/>
  <c r="K75" i="1"/>
  <c r="J75" i="1"/>
  <c r="M11" i="11" l="1"/>
  <c r="N11" i="11"/>
  <c r="L11" i="11"/>
  <c r="G11" i="11"/>
  <c r="K11" i="11"/>
  <c r="I11" i="11"/>
  <c r="J11" i="11"/>
  <c r="H11" i="11"/>
  <c r="D11" i="11"/>
  <c r="F11" i="11"/>
  <c r="E11" i="11"/>
  <c r="C11" i="11"/>
  <c r="J54" i="12"/>
  <c r="L54" i="12"/>
  <c r="H54" i="12"/>
  <c r="N54" i="12"/>
  <c r="M83" i="1"/>
  <c r="T6" i="11"/>
  <c r="H39" i="6"/>
  <c r="H44" i="6" s="1"/>
  <c r="N6" i="11"/>
  <c r="L6" i="11"/>
  <c r="H41" i="6"/>
  <c r="S6" i="11"/>
  <c r="E18" i="4"/>
  <c r="R6" i="11"/>
  <c r="Q6" i="11"/>
  <c r="M6" i="11"/>
  <c r="N83" i="1"/>
  <c r="N85" i="1" s="1"/>
  <c r="N86" i="1" s="1"/>
  <c r="K6" i="11"/>
  <c r="J6" i="11"/>
  <c r="I39" i="6"/>
  <c r="J39" i="6"/>
  <c r="H6" i="11"/>
  <c r="I6" i="11"/>
  <c r="I56" i="6"/>
  <c r="I64" i="6" s="1"/>
  <c r="P6" i="11"/>
  <c r="G6" i="11"/>
  <c r="L39" i="6"/>
  <c r="J56" i="6"/>
  <c r="J64" i="6" s="1"/>
  <c r="J41" i="6"/>
  <c r="J42" i="6" s="1"/>
  <c r="J43" i="6" s="1"/>
  <c r="K56" i="6"/>
  <c r="K64" i="6" s="1"/>
  <c r="K39" i="6"/>
  <c r="N39" i="6"/>
  <c r="E6" i="11"/>
  <c r="P39" i="6"/>
  <c r="M39" i="6"/>
  <c r="M44" i="6" s="1"/>
  <c r="L41" i="6"/>
  <c r="K41" i="6"/>
  <c r="K42" i="6" s="1"/>
  <c r="K43" i="6" s="1"/>
  <c r="L56" i="6"/>
  <c r="L64" i="6" s="1"/>
  <c r="O39" i="6"/>
  <c r="M56" i="6"/>
  <c r="M64" i="6" s="1"/>
  <c r="F6" i="11"/>
  <c r="D6" i="11"/>
  <c r="N41" i="6"/>
  <c r="N42" i="6" s="1"/>
  <c r="N43" i="6" s="1"/>
  <c r="N56" i="6"/>
  <c r="N64" i="6" s="1"/>
  <c r="C6" i="11"/>
  <c r="M41" i="6"/>
  <c r="M42" i="6" s="1"/>
  <c r="M43" i="6" s="1"/>
  <c r="R39" i="6"/>
  <c r="Q39" i="6"/>
  <c r="P56" i="6"/>
  <c r="P64" i="6" s="1"/>
  <c r="V39" i="6"/>
  <c r="O41" i="6"/>
  <c r="O56" i="6"/>
  <c r="O64" i="6" s="1"/>
  <c r="P41" i="6"/>
  <c r="Q41" i="6"/>
  <c r="R41" i="6"/>
  <c r="R42" i="6" s="1"/>
  <c r="R43" i="6" s="1"/>
  <c r="Q56" i="6"/>
  <c r="Q64" i="6" s="1"/>
  <c r="T39" i="6"/>
  <c r="S39" i="6"/>
  <c r="R56" i="6"/>
  <c r="R64" i="6" s="1"/>
  <c r="T41" i="6"/>
  <c r="S41" i="6"/>
  <c r="S42" i="6" s="1"/>
  <c r="S43" i="6" s="1"/>
  <c r="S56" i="6"/>
  <c r="S64" i="6" s="1"/>
  <c r="U39" i="6"/>
  <c r="V56" i="6"/>
  <c r="V64" i="6" s="1"/>
  <c r="X39" i="6"/>
  <c r="U41" i="6"/>
  <c r="U42" i="6" s="1"/>
  <c r="U43" i="6" s="1"/>
  <c r="T56" i="6"/>
  <c r="T64" i="6" s="1"/>
  <c r="U56" i="6"/>
  <c r="U64" i="6" s="1"/>
  <c r="W39" i="6"/>
  <c r="V41" i="6"/>
  <c r="V42" i="6" s="1"/>
  <c r="V43" i="6" s="1"/>
  <c r="W56" i="6"/>
  <c r="W64" i="6" s="1"/>
  <c r="Y39" i="6"/>
  <c r="W41" i="6"/>
  <c r="W42" i="6" s="1"/>
  <c r="W43" i="6" s="1"/>
  <c r="AA39" i="6"/>
  <c r="Y56" i="6"/>
  <c r="X41" i="6"/>
  <c r="X42" i="6" s="1"/>
  <c r="X43" i="6" s="1"/>
  <c r="Z39" i="6"/>
  <c r="X56" i="6"/>
  <c r="P33" i="11"/>
  <c r="P34" i="11" s="1"/>
  <c r="D33" i="11"/>
  <c r="D34" i="11" s="1"/>
  <c r="E38" i="11"/>
  <c r="AB39" i="6"/>
  <c r="AB41" i="6" s="1"/>
  <c r="C33" i="11"/>
  <c r="C34" i="11" s="1"/>
  <c r="H38" i="11"/>
  <c r="N33" i="11"/>
  <c r="N34" i="11" s="1"/>
  <c r="AA56" i="6"/>
  <c r="M33" i="11"/>
  <c r="M34" i="11" s="1"/>
  <c r="E33" i="11"/>
  <c r="E34" i="11" s="1"/>
  <c r="Q33" i="11"/>
  <c r="Q34" i="11" s="1"/>
  <c r="J38" i="11"/>
  <c r="I38" i="11"/>
  <c r="N38" i="11"/>
  <c r="S33" i="11"/>
  <c r="S34" i="11" s="1"/>
  <c r="R33" i="11"/>
  <c r="R34" i="11" s="1"/>
  <c r="H33" i="11"/>
  <c r="H34" i="11" s="1"/>
  <c r="I33" i="11"/>
  <c r="I34" i="11" s="1"/>
  <c r="G33" i="11"/>
  <c r="G34" i="11" s="1"/>
  <c r="Z56" i="6"/>
  <c r="G38" i="11"/>
  <c r="F33" i="11"/>
  <c r="F34" i="11" s="1"/>
  <c r="D38" i="11"/>
  <c r="L38" i="11"/>
  <c r="K33" i="11"/>
  <c r="K34" i="11" s="1"/>
  <c r="C38" i="11"/>
  <c r="T33" i="11"/>
  <c r="T34" i="11" s="1"/>
  <c r="M38" i="11"/>
  <c r="L33" i="11"/>
  <c r="L34" i="11" s="1"/>
  <c r="AD39" i="6"/>
  <c r="AD41" i="6" s="1"/>
  <c r="F38" i="11"/>
  <c r="K38" i="11"/>
  <c r="AB56" i="6"/>
  <c r="J33" i="11"/>
  <c r="J34" i="11" s="1"/>
  <c r="AC39" i="6"/>
  <c r="AC41" i="6" s="1"/>
  <c r="AF56" i="6"/>
  <c r="AC56" i="6"/>
  <c r="AD56" i="6"/>
  <c r="AE39" i="6"/>
  <c r="AF39" i="6"/>
  <c r="AE56" i="6"/>
  <c r="AH39" i="6"/>
  <c r="AI39" i="6"/>
  <c r="AG39" i="6"/>
  <c r="AG56" i="6"/>
  <c r="AI56" i="6"/>
  <c r="AH56" i="6"/>
  <c r="AH64" i="6" s="1"/>
  <c r="AK56" i="6"/>
  <c r="S44" i="6" l="1"/>
  <c r="K44" i="6"/>
  <c r="L7" i="4"/>
  <c r="L12" i="4" s="1"/>
  <c r="J7" i="4"/>
  <c r="J12" i="4" s="1"/>
  <c r="H7" i="4"/>
  <c r="H12" i="4" s="1"/>
  <c r="F7" i="4"/>
  <c r="F12" i="4" s="1"/>
  <c r="C27" i="1" s="1"/>
  <c r="K6" i="12" s="1"/>
  <c r="N44" i="6"/>
  <c r="P44" i="6"/>
  <c r="X44" i="6"/>
  <c r="Q44" i="6"/>
  <c r="U44" i="6"/>
  <c r="L44" i="6"/>
  <c r="AL41" i="6"/>
  <c r="AL42" i="6" s="1"/>
  <c r="AL43" i="6" s="1"/>
  <c r="AL44" i="6"/>
  <c r="AF41" i="6"/>
  <c r="AF42" i="6" s="1"/>
  <c r="AF43" i="6" s="1"/>
  <c r="AF44" i="6"/>
  <c r="K40" i="11"/>
  <c r="K39" i="11"/>
  <c r="K41" i="11"/>
  <c r="L40" i="11"/>
  <c r="L41" i="11"/>
  <c r="L39" i="11"/>
  <c r="AA66" i="6"/>
  <c r="AA67" i="6" s="1"/>
  <c r="AA64" i="6"/>
  <c r="AA68" i="6" s="1"/>
  <c r="X64" i="6"/>
  <c r="X68" i="6" s="1"/>
  <c r="X66" i="6"/>
  <c r="X67" i="6" s="1"/>
  <c r="R44" i="6"/>
  <c r="O44" i="6"/>
  <c r="AN41" i="6"/>
  <c r="AN42" i="6" s="1"/>
  <c r="AN43" i="6" s="1"/>
  <c r="AN44" i="6"/>
  <c r="AG66" i="6"/>
  <c r="AG67" i="6" s="1"/>
  <c r="AG64" i="6"/>
  <c r="AG68" i="6" s="1"/>
  <c r="AE41" i="6"/>
  <c r="AE44" i="6"/>
  <c r="F40" i="11"/>
  <c r="F39" i="11"/>
  <c r="F41" i="11"/>
  <c r="D41" i="11"/>
  <c r="D40" i="11"/>
  <c r="D39" i="11"/>
  <c r="Z41" i="6"/>
  <c r="Z42" i="6" s="1"/>
  <c r="Z43" i="6" s="1"/>
  <c r="Z44" i="6"/>
  <c r="W44" i="6"/>
  <c r="Q42" i="6"/>
  <c r="Q43" i="6" s="1"/>
  <c r="M85" i="1"/>
  <c r="M86" i="1" s="1"/>
  <c r="M75" i="1"/>
  <c r="AM41" i="6"/>
  <c r="AM42" i="6" s="1"/>
  <c r="AM43" i="6" s="1"/>
  <c r="AM44" i="6"/>
  <c r="AD66" i="6"/>
  <c r="AD67" i="6" s="1"/>
  <c r="AD64" i="6"/>
  <c r="AD68" i="6" s="1"/>
  <c r="AD42" i="6"/>
  <c r="AD43" i="6" s="1"/>
  <c r="AD44" i="6"/>
  <c r="N39" i="11"/>
  <c r="N41" i="11"/>
  <c r="N40" i="11"/>
  <c r="H41" i="11"/>
  <c r="H40" i="11"/>
  <c r="H39" i="11"/>
  <c r="T42" i="6"/>
  <c r="T43" i="6" s="1"/>
  <c r="P42" i="6"/>
  <c r="P43" i="6" s="1"/>
  <c r="J44" i="6"/>
  <c r="AJ42" i="6"/>
  <c r="AJ43" i="6" s="1"/>
  <c r="AJ44" i="6"/>
  <c r="AB64" i="6"/>
  <c r="AB68" i="6" s="1"/>
  <c r="AB66" i="6"/>
  <c r="AB67" i="6" s="1"/>
  <c r="AO41" i="6"/>
  <c r="AO42" i="6" s="1"/>
  <c r="AO43" i="6" s="1"/>
  <c r="AO44" i="6"/>
  <c r="AG41" i="6"/>
  <c r="AG42" i="6" s="1"/>
  <c r="AG43" i="6" s="1"/>
  <c r="AG44" i="6"/>
  <c r="AC64" i="6"/>
  <c r="AC68" i="6" s="1"/>
  <c r="AC66" i="6"/>
  <c r="AC67" i="6" s="1"/>
  <c r="G39" i="11"/>
  <c r="G41" i="11"/>
  <c r="G40" i="11"/>
  <c r="I41" i="11"/>
  <c r="I40" i="11"/>
  <c r="I39" i="11"/>
  <c r="Y64" i="6"/>
  <c r="Y68" i="6" s="1"/>
  <c r="Y66" i="6"/>
  <c r="Y67" i="6" s="1"/>
  <c r="S54" i="12"/>
  <c r="L42" i="6"/>
  <c r="L43" i="6" s="1"/>
  <c r="I44" i="6"/>
  <c r="AI41" i="6"/>
  <c r="AI42" i="6" s="1"/>
  <c r="AI43" i="6" s="1"/>
  <c r="AI44" i="6"/>
  <c r="AF66" i="6"/>
  <c r="AF67" i="6" s="1"/>
  <c r="AF64" i="6"/>
  <c r="AF68" i="6" s="1"/>
  <c r="M41" i="11"/>
  <c r="M40" i="11"/>
  <c r="M39" i="11"/>
  <c r="Z64" i="6"/>
  <c r="Z68" i="6" s="1"/>
  <c r="Z66" i="6"/>
  <c r="Z67" i="6" s="1"/>
  <c r="J41" i="11"/>
  <c r="J40" i="11"/>
  <c r="J39" i="11"/>
  <c r="AB42" i="6"/>
  <c r="AB43" i="6" s="1"/>
  <c r="AB44" i="6"/>
  <c r="AA41" i="6"/>
  <c r="AA42" i="6" s="1"/>
  <c r="AA43" i="6" s="1"/>
  <c r="AA44" i="6"/>
  <c r="O42" i="6"/>
  <c r="O43" i="6" s="1"/>
  <c r="H42" i="6"/>
  <c r="H43" i="6" s="1"/>
  <c r="AP41" i="6"/>
  <c r="AP42" i="6" s="1"/>
  <c r="AP43" i="6" s="1"/>
  <c r="AP44" i="6"/>
  <c r="AH66" i="6"/>
  <c r="AH67" i="6" s="1"/>
  <c r="AH68" i="6"/>
  <c r="AH41" i="6"/>
  <c r="AH42" i="6" s="1"/>
  <c r="AH43" i="6" s="1"/>
  <c r="AH44" i="6"/>
  <c r="AC42" i="6"/>
  <c r="AC43" i="6" s="1"/>
  <c r="AC44" i="6"/>
  <c r="E40" i="11"/>
  <c r="E41" i="11"/>
  <c r="E39" i="11"/>
  <c r="V44" i="6"/>
  <c r="AK42" i="6"/>
  <c r="AK43" i="6" s="1"/>
  <c r="AK44" i="6"/>
  <c r="AE64" i="6"/>
  <c r="AE66" i="6"/>
  <c r="C39" i="11"/>
  <c r="C41" i="11"/>
  <c r="C40" i="11"/>
  <c r="Y41" i="6"/>
  <c r="Y42" i="6" s="1"/>
  <c r="Y43" i="6" s="1"/>
  <c r="Y44" i="6"/>
  <c r="T44" i="6"/>
  <c r="O83" i="1"/>
  <c r="P83" i="1"/>
  <c r="N75" i="1"/>
  <c r="O85" i="1" l="1"/>
  <c r="P85" i="1"/>
  <c r="X54" i="12"/>
  <c r="T54" i="12"/>
  <c r="AE68" i="6"/>
  <c r="N94" i="1" s="1"/>
  <c r="L94" i="1"/>
  <c r="AE67" i="6"/>
  <c r="P94" i="1" s="1"/>
  <c r="O94" i="1"/>
  <c r="P75" i="1"/>
  <c r="O75" i="1"/>
  <c r="AE42" i="6"/>
  <c r="P86" i="1" l="1"/>
  <c r="X12" i="12"/>
  <c r="AE4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 Kane</author>
  </authors>
  <commentList>
    <comment ref="L100" authorId="0" shapeId="0" xr:uid="{00000000-0006-0000-0000-000001000000}">
      <text>
        <r>
          <rPr>
            <b/>
            <sz val="9"/>
            <color indexed="81"/>
            <rFont val="Tahoma"/>
            <family val="2"/>
          </rPr>
          <t>Connor Kane:</t>
        </r>
        <r>
          <rPr>
            <sz val="9"/>
            <color indexed="81"/>
            <rFont val="Tahoma"/>
            <family val="2"/>
          </rPr>
          <t xml:space="preserve">
Update with each borrowing base for starts 
 Update with takedown schedule (partial release) for curtailments ($ pay downs)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Connor Kane</author>
  </authors>
  <commentList>
    <comment ref="E21" authorId="0" shapeId="0" xr:uid="{00000000-0006-0000-0200-000001000000}">
      <text>
        <r>
          <rPr>
            <b/>
            <sz val="9"/>
            <color indexed="81"/>
            <rFont val="Tahoma"/>
            <family val="2"/>
          </rPr>
          <t>Connor Kane:</t>
        </r>
        <r>
          <rPr>
            <sz val="9"/>
            <color indexed="81"/>
            <rFont val="Tahoma"/>
            <family val="2"/>
          </rPr>
          <t xml:space="preserve">
Avg. Deposits pulled from LP Deposit report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Connor Kane</author>
  </authors>
  <commentList>
    <comment ref="B65" authorId="0" shapeId="0" xr:uid="{00000000-0006-0000-0300-000001000000}">
      <text>
        <r>
          <rPr>
            <b/>
            <sz val="9"/>
            <color indexed="81"/>
            <rFont val="Tahoma"/>
            <family val="2"/>
          </rPr>
          <t>Connor Kane:</t>
        </r>
        <r>
          <rPr>
            <sz val="9"/>
            <color indexed="81"/>
            <rFont val="Tahoma"/>
            <family val="2"/>
          </rPr>
          <t xml:space="preserve">
This number may be hardcoded if Lots are provided on a monthly basis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 Kane</author>
    <author>Scarlett Ellington</author>
  </authors>
  <commentList>
    <comment ref="B5" authorId="0" shapeId="0" xr:uid="{00000000-0006-0000-0500-000001000000}">
      <text>
        <r>
          <rPr>
            <b/>
            <sz val="9"/>
            <color indexed="81"/>
            <rFont val="Tahoma"/>
            <family val="2"/>
          </rPr>
          <t>Connor Kane:</t>
        </r>
        <r>
          <rPr>
            <sz val="9"/>
            <color indexed="81"/>
            <rFont val="Tahoma"/>
            <family val="2"/>
          </rPr>
          <t xml:space="preserve">
"Total Intangibles" from spreads per Bank Definition
Advances to Affiliates
Investments in Affiliates
Assets Pledged
Deposits / Prepaids
Goodwill
Cash Pledged to Other Creditors</t>
        </r>
      </text>
    </comment>
    <comment ref="AG5" authorId="1" shapeId="0" xr:uid="{25C68380-38FE-48E1-92CD-74EA9B27D33A}">
      <text>
        <r>
          <rPr>
            <sz val="11"/>
            <color theme="1"/>
            <rFont val="Calibri"/>
            <family val="2"/>
            <scheme val="minor"/>
          </rPr>
          <t>Scarlett Ellington:
Equation changed to Intangibles plus Deferred Tax Assets</t>
        </r>
      </text>
    </comment>
    <comment ref="B10" authorId="0" shapeId="0" xr:uid="{00000000-0006-0000-0500-000002000000}">
      <text>
        <r>
          <rPr>
            <b/>
            <sz val="9"/>
            <color indexed="81"/>
            <rFont val="Tahoma"/>
            <family val="2"/>
          </rPr>
          <t>Connor Kane:</t>
        </r>
        <r>
          <rPr>
            <sz val="9"/>
            <color indexed="81"/>
            <rFont val="Tahoma"/>
            <family val="2"/>
          </rPr>
          <t xml:space="preserve">
Subordinated Debt (to Bank)
"Other Notes Payable" on management prepared statements/spreads for BCN. Classification will change with each new borrower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Connor Kane</author>
    <author>Scarlett Ellington</author>
    <author>Jason Yowell</author>
  </authors>
  <commentList>
    <comment ref="I3" authorId="0" shapeId="0" xr:uid="{00000000-0006-0000-0600-000001000000}">
      <text>
        <r>
          <rPr>
            <b/>
            <sz val="9"/>
            <color indexed="81"/>
            <rFont val="Tahoma"/>
            <family val="2"/>
          </rPr>
          <t>Connor Kane:</t>
        </r>
        <r>
          <rPr>
            <sz val="9"/>
            <color indexed="81"/>
            <rFont val="Tahoma"/>
            <family val="2"/>
          </rPr>
          <t xml:space="preserve">
3rd agreement to Loan Amendment changed calculation to ETNW</t>
        </r>
      </text>
    </comment>
    <comment ref="AG4" authorId="1" shapeId="0" xr:uid="{004AB719-A44A-459B-8937-7598D4E2B8F1}">
      <text>
        <r>
          <rPr>
            <sz val="11"/>
            <color theme="1"/>
            <rFont val="Calibri"/>
            <family val="2"/>
            <scheme val="minor"/>
          </rPr>
          <t>Scarlett Ellington:
Changed to the calculated unrestricted cash in the covenant compliance certificate.</t>
        </r>
      </text>
    </comment>
    <comment ref="I6" authorId="0" shapeId="0" xr:uid="{00000000-0006-0000-0600-000002000000}">
      <text>
        <r>
          <rPr>
            <b/>
            <sz val="9"/>
            <color indexed="81"/>
            <rFont val="Tahoma"/>
            <family val="2"/>
          </rPr>
          <t>Connor Kane:</t>
        </r>
        <r>
          <rPr>
            <sz val="9"/>
            <color indexed="81"/>
            <rFont val="Tahoma"/>
            <family val="2"/>
          </rPr>
          <t xml:space="preserve">
Per 6/30 Statements. Borrower CC reports AP of $2,469.332</t>
        </r>
      </text>
    </comment>
    <comment ref="AP10" authorId="1" shapeId="0" xr:uid="{DF78491C-B827-4F33-A344-9081E6CBC61A}">
      <text>
        <r>
          <rPr>
            <sz val="11"/>
            <color theme="1"/>
            <rFont val="Calibri"/>
            <family val="2"/>
            <scheme val="minor"/>
          </rPr>
          <t>Scarlett Ellington:
Covenant modified in 7/30/25 CrDD from min $50MM to min $100MM.</t>
        </r>
      </text>
    </comment>
    <comment ref="B17" authorId="0" shapeId="0" xr:uid="{00000000-0006-0000-0600-000003000000}">
      <text>
        <r>
          <rPr>
            <b/>
            <sz val="9"/>
            <color indexed="81"/>
            <rFont val="Tahoma"/>
            <family val="2"/>
          </rPr>
          <t>Connor Kane:</t>
        </r>
        <r>
          <rPr>
            <sz val="9"/>
            <color indexed="81"/>
            <rFont val="Tahoma"/>
            <family val="2"/>
          </rPr>
          <t xml:space="preserve">
Per Bank definition as spread in Moody's
</t>
        </r>
      </text>
    </comment>
    <comment ref="B19" authorId="0" shapeId="0" xr:uid="{00000000-0006-0000-0600-000005000000}">
      <text>
        <r>
          <rPr>
            <b/>
            <sz val="9"/>
            <color indexed="81"/>
            <rFont val="Tahoma"/>
            <family val="2"/>
          </rPr>
          <t>Connor Kane:</t>
        </r>
        <r>
          <rPr>
            <sz val="9"/>
            <color indexed="81"/>
            <rFont val="Tahoma"/>
            <family val="2"/>
          </rPr>
          <t xml:space="preserve">
"Other Notes Payable" on balance sheet
Only includes subordinated debt to Bank</t>
        </r>
      </text>
    </comment>
    <comment ref="AP33" authorId="1" shapeId="0" xr:uid="{0B3886DC-E8FA-4A30-A1B5-8088581177D2}">
      <text>
        <r>
          <rPr>
            <sz val="11"/>
            <color theme="1"/>
            <rFont val="Calibri"/>
            <family val="2"/>
            <scheme val="minor"/>
          </rPr>
          <t>Scarlett Ellington:
Covenant modified in 7/30/25 CrDD from max 60% to Max 55% through 12/31/26 then 60% thereafter.</t>
        </r>
      </text>
    </comment>
    <comment ref="AK39" authorId="2" shapeId="0" xr:uid="{A46E1B24-DBC4-43C6-950B-3A46301F8603}">
      <text>
        <r>
          <rPr>
            <sz val="11"/>
            <color theme="1"/>
            <rFont val="Calibri"/>
            <family val="2"/>
            <scheme val="minor"/>
          </rPr>
          <t>Jason Yowell:
This should be manually input from the compliance certificate each quarter.</t>
        </r>
      </text>
    </comment>
    <comment ref="B44" authorId="0" shapeId="0" xr:uid="{00000000-0006-0000-0600-000006000000}">
      <text>
        <r>
          <rPr>
            <b/>
            <sz val="9"/>
            <color indexed="81"/>
            <rFont val="Tahoma"/>
            <family val="2"/>
          </rPr>
          <t>Connor Kane:</t>
        </r>
        <r>
          <rPr>
            <sz val="9"/>
            <color indexed="81"/>
            <rFont val="Tahoma"/>
            <family val="2"/>
          </rPr>
          <t xml:space="preserve">
If "No Consecutive Losses" keep formula
If covenant is no more than two consecutive losses, then include the preceding quarter also</t>
        </r>
      </text>
    </comment>
    <comment ref="AB49" authorId="1" shapeId="0" xr:uid="{C16D4FF2-E575-47F6-87F2-EFF7D27524FA}">
      <text>
        <r>
          <rPr>
            <sz val="11"/>
            <color theme="1"/>
            <rFont val="Calibri"/>
            <family val="2"/>
            <scheme val="minor"/>
          </rPr>
          <t>Scarlett Ellington:
Updated on 4/17/25. Cash &amp; Equivalents not required in this calculation.</t>
        </r>
      </text>
    </comment>
    <comment ref="AI55" authorId="1" shapeId="0" xr:uid="{845FC6B9-B5CF-43A9-986D-B473A6DFCB02}">
      <text>
        <r>
          <rPr>
            <sz val="11"/>
            <color theme="1"/>
            <rFont val="Calibri"/>
            <family val="2"/>
            <scheme val="minor"/>
          </rPr>
          <t>Scarlett Ellington:
Calculation adjusted on 4/17/25 to match correct CAS 
calculation for Maximum Housing Inventory.</t>
        </r>
      </text>
    </comment>
    <comment ref="AL65" authorId="1" shapeId="0" xr:uid="{875CB95B-48CF-4532-908C-202DAB7273F2}">
      <text>
        <r>
          <rPr>
            <sz val="11"/>
            <color theme="1"/>
            <rFont val="Calibri"/>
            <family val="2"/>
            <scheme val="minor"/>
          </rPr>
          <t>Scarlett Ellington:
Covenant increased from 50% to 65% in the 10/15/24 CAS mod.</t>
        </r>
      </text>
    </comment>
    <comment ref="AP74" authorId="1" shapeId="0" xr:uid="{51D980E7-DCA1-4433-9F65-61C41BAC165C}">
      <text>
        <r>
          <rPr>
            <sz val="11"/>
            <color theme="1"/>
            <rFont val="Calibri"/>
            <family val="2"/>
            <scheme val="minor"/>
          </rPr>
          <t>Scarlett Ellington:
Covenant removed in 7/30/25 CrDD.</t>
        </r>
      </text>
    </comment>
    <comment ref="AP91" authorId="1" shapeId="0" xr:uid="{D51B11E4-31D3-4642-BF77-CD33F5E9E1E1}">
      <text>
        <r>
          <rPr>
            <sz val="11"/>
            <color theme="1"/>
            <rFont val="Calibri"/>
            <family val="2"/>
            <scheme val="minor"/>
          </rPr>
          <t>Scarlett Ellington:
Covenant modified in 7/30/25 CrDD from min 1.75x to min 1.15x through 2026 and 1.50x thereafter. Also, EBITDA to include up to $50MM of cumulative TTM inventory impairment add backs.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Connor Kane</author>
  </authors>
  <commentList>
    <comment ref="B33" authorId="0" shapeId="0" xr:uid="{00000000-0006-0000-0A00-000001000000}">
      <text>
        <r>
          <rPr>
            <b/>
            <sz val="9"/>
            <color indexed="81"/>
            <rFont val="Tahoma"/>
            <family val="2"/>
          </rPr>
          <t>Connor Kane:</t>
        </r>
        <r>
          <rPr>
            <sz val="9"/>
            <color indexed="81"/>
            <rFont val="Tahoma"/>
            <family val="2"/>
          </rPr>
          <t xml:space="preserve">
Normally sales, but n/a so closings are used</t>
        </r>
      </text>
    </comment>
    <comment ref="B47" authorId="0" shapeId="0" xr:uid="{00000000-0006-0000-0A00-000002000000}">
      <text>
        <r>
          <rPr>
            <b/>
            <sz val="9"/>
            <color indexed="81"/>
            <rFont val="Tahoma"/>
            <family val="2"/>
          </rPr>
          <t>Connor Kane:</t>
        </r>
        <r>
          <rPr>
            <sz val="9"/>
            <color indexed="81"/>
            <rFont val="Tahoma"/>
            <family val="2"/>
          </rPr>
          <t xml:space="preserve">
Net commitment if applicable (if na then show gross commitment)</t>
        </r>
      </text>
    </comment>
    <comment ref="B49" authorId="0" shapeId="0" xr:uid="{00000000-0006-0000-0A00-000003000000}">
      <text>
        <r>
          <rPr>
            <b/>
            <sz val="9"/>
            <color indexed="81"/>
            <rFont val="Tahoma"/>
            <family val="2"/>
          </rPr>
          <t>Connor Kane:</t>
        </r>
        <r>
          <rPr>
            <sz val="9"/>
            <color indexed="81"/>
            <rFont val="Tahoma"/>
            <family val="2"/>
          </rPr>
          <t xml:space="preserve">
Used for bar chart</t>
        </r>
      </text>
    </comment>
    <comment ref="B53" authorId="0" shapeId="0" xr:uid="{00000000-0006-0000-0A00-000004000000}">
      <text>
        <r>
          <rPr>
            <b/>
            <sz val="9"/>
            <color indexed="81"/>
            <rFont val="Tahoma"/>
            <family val="2"/>
          </rPr>
          <t>Connor Kane:</t>
        </r>
        <r>
          <rPr>
            <sz val="9"/>
            <color indexed="81"/>
            <rFont val="Tahoma"/>
            <family val="2"/>
          </rPr>
          <t xml:space="preserve">
Based on Rel. UPB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Scarlett Ellington</author>
  </authors>
  <commentList>
    <comment ref="O6" authorId="0" shapeId="0" xr:uid="{69B0E04A-33E7-4AC4-951E-3BA84B74C472}">
      <text>
        <r>
          <rPr>
            <sz val="11"/>
            <color theme="1"/>
            <rFont val="Calibri"/>
            <family val="2"/>
            <scheme val="minor"/>
          </rPr>
          <t>Scarlett Ellington:
Hardcoded as "NA". There is no DTNW covenant. This equation pulls the maintenance leverage ratio.</t>
        </r>
      </text>
    </comment>
    <comment ref="P6" authorId="0" shapeId="0" xr:uid="{418531CB-0C25-4030-9597-34370D3CC7CE}">
      <text>
        <r>
          <rPr>
            <sz val="11"/>
            <color theme="1"/>
            <rFont val="Calibri"/>
            <family val="2"/>
            <scheme val="minor"/>
          </rPr>
          <t>Scarlett Ellington:
Hardcoded as "NA". There is no DTNW covenant. This equation pulls the maintenance leverage ratio.</t>
        </r>
      </text>
    </comment>
    <comment ref="T6" authorId="0" shapeId="0" xr:uid="{26CFCA01-DD9F-4359-810C-EE42C2ADB5E0}">
      <text>
        <r>
          <rPr>
            <sz val="11"/>
            <color theme="1"/>
            <rFont val="Calibri"/>
            <family val="2"/>
            <scheme val="minor"/>
          </rPr>
          <t>Scarlett Ellington:
Hardcoded to "NA". Completed spec information is not received from this Borrower.</t>
        </r>
      </text>
    </comment>
    <comment ref="U6" authorId="0" shapeId="0" xr:uid="{3B7AAC5C-5AB0-472D-8D03-C73DC839769E}">
      <text>
        <r>
          <rPr>
            <sz val="11"/>
            <color theme="1"/>
            <rFont val="Calibri"/>
            <family val="2"/>
            <scheme val="minor"/>
          </rPr>
          <t>Scarlett Ellington:
Hardcoded to "NA". Completed spec information is not received from this Borrower.</t>
        </r>
      </text>
    </comment>
  </commentList>
</comments>
</file>

<file path=xl/sharedStrings.xml><?xml version="1.0" encoding="utf-8"?>
<sst xmlns="http://schemas.openxmlformats.org/spreadsheetml/2006/main" count="950" uniqueCount="445">
  <si>
    <t>Version 2.1</t>
  </si>
  <si>
    <t>Latest Financial Reporting Date:</t>
  </si>
  <si>
    <t>Latest Inventory Reporting Date:</t>
  </si>
  <si>
    <t>Borrower Information</t>
  </si>
  <si>
    <t>RM / PM:</t>
  </si>
  <si>
    <t>Current UPB:</t>
  </si>
  <si>
    <t>Relationship Name:</t>
  </si>
  <si>
    <t>Rel. Exposure:</t>
  </si>
  <si>
    <t>Borrower Name:</t>
  </si>
  <si>
    <t>Rel. Deposits:</t>
  </si>
  <si>
    <t>Obligor Number:</t>
  </si>
  <si>
    <t>CRA (Y/N):</t>
  </si>
  <si>
    <t>No</t>
  </si>
  <si>
    <t>Borrower HQ:</t>
  </si>
  <si>
    <t>Houston, Texas</t>
  </si>
  <si>
    <t>Established:</t>
  </si>
  <si>
    <t>Guarantor(s):</t>
  </si>
  <si>
    <t>All direct subsidiaries</t>
  </si>
  <si>
    <t>Grt. Amount:</t>
  </si>
  <si>
    <t>Unlimited</t>
  </si>
  <si>
    <t>Related Entities:</t>
  </si>
  <si>
    <t>NA</t>
  </si>
  <si>
    <t>Facility Information</t>
  </si>
  <si>
    <t>Project Appraisal</t>
  </si>
  <si>
    <t>Release Terms</t>
  </si>
  <si>
    <t>Facility Type:</t>
  </si>
  <si>
    <t>BBLOC</t>
  </si>
  <si>
    <t>Secured (Y/N):</t>
  </si>
  <si>
    <t>Appraisal Date:</t>
  </si>
  <si>
    <t>Release Price:</t>
  </si>
  <si>
    <t>Date Approved:</t>
  </si>
  <si>
    <t>Closed:</t>
  </si>
  <si>
    <t>"As is" Value:</t>
  </si>
  <si>
    <t>Acceleration:</t>
  </si>
  <si>
    <t>Line Maturity:</t>
  </si>
  <si>
    <t>Note Maturity:</t>
  </si>
  <si>
    <t>"Upon Completion" Value:</t>
  </si>
  <si>
    <t>Collateral Units:</t>
  </si>
  <si>
    <t>Days Till Line Maturity:</t>
  </si>
  <si>
    <t>Final Maturity:</t>
  </si>
  <si>
    <t>Appraisal Absorption:</t>
  </si>
  <si>
    <t>Units Required for Payoff:</t>
  </si>
  <si>
    <t>Gross Amount:</t>
  </si>
  <si>
    <t>Net Amount:</t>
  </si>
  <si>
    <t>Borrower Projection:</t>
  </si>
  <si>
    <t>Project Closings to Date:</t>
  </si>
  <si>
    <t>Interest Rate:</t>
  </si>
  <si>
    <t>SOFR +1.75%, based on leverage</t>
  </si>
  <si>
    <t>Interest Floor:</t>
  </si>
  <si>
    <t>0.5% (SOFR)</t>
  </si>
  <si>
    <t>Actual Absorption:</t>
  </si>
  <si>
    <t>Units Until Payoff:</t>
  </si>
  <si>
    <t>Syndication:</t>
  </si>
  <si>
    <t>Yes</t>
  </si>
  <si>
    <t>%  Hold:</t>
  </si>
  <si>
    <t>Markets:</t>
  </si>
  <si>
    <t>A&amp;D Progress</t>
  </si>
  <si>
    <t>Interest Reserve</t>
  </si>
  <si>
    <t>Collateral:</t>
  </si>
  <si>
    <t>Unsecured</t>
  </si>
  <si>
    <t>% A&amp;D Complete:</t>
  </si>
  <si>
    <t>Reserve:</t>
  </si>
  <si>
    <t>Remaining:</t>
  </si>
  <si>
    <t>Use of Proceeds:</t>
  </si>
  <si>
    <t>Working Capital</t>
  </si>
  <si>
    <t>Estim. Completion Date:</t>
  </si>
  <si>
    <t>Funded:</t>
  </si>
  <si>
    <t>% Remaining:</t>
  </si>
  <si>
    <t>Risk Ratings / Policy Exceptions / Reviews</t>
  </si>
  <si>
    <t>Advance Rates and Extension Terms</t>
  </si>
  <si>
    <t>Borrower Tier:</t>
  </si>
  <si>
    <t>Last Updated:</t>
  </si>
  <si>
    <t>Type</t>
  </si>
  <si>
    <t>LTV</t>
  </si>
  <si>
    <t>LTC</t>
  </si>
  <si>
    <t>Term</t>
  </si>
  <si>
    <t>1st Ext.</t>
  </si>
  <si>
    <t>Reduction</t>
  </si>
  <si>
    <t>2nd Ext.</t>
  </si>
  <si>
    <t>BRR (PG-LGD):</t>
  </si>
  <si>
    <t>5 (3F)</t>
  </si>
  <si>
    <t>Last Updated by:</t>
  </si>
  <si>
    <t>LM</t>
  </si>
  <si>
    <t>Entitled Land</t>
  </si>
  <si>
    <t>24-Mths</t>
  </si>
  <si>
    <t>30% after 24</t>
  </si>
  <si>
    <t>Recomnd BRR (PG-LGD):</t>
  </si>
  <si>
    <t>Last Portfolio Review:</t>
  </si>
  <si>
    <t>LUD</t>
  </si>
  <si>
    <t>36--Mths</t>
  </si>
  <si>
    <t>Policy Exception</t>
  </si>
  <si>
    <t>Finished Lots</t>
  </si>
  <si>
    <t>18-Mths</t>
  </si>
  <si>
    <t>6-Mths</t>
  </si>
  <si>
    <r>
      <rPr>
        <b/>
        <i/>
        <sz val="10"/>
        <color rgb="FF000000"/>
        <rFont val="Arial Narrow"/>
        <family val="2"/>
      </rPr>
      <t xml:space="preserve">Notes: </t>
    </r>
    <r>
      <rPr>
        <i/>
        <sz val="10"/>
        <color rgb="FF0000FF"/>
        <rFont val="Arial Narrow"/>
        <family val="2"/>
      </rPr>
      <t>RR on file is 5 (3F) per approved CrDD dated 4/22/25.  No change in rating is recommended.</t>
    </r>
  </si>
  <si>
    <t>Models</t>
  </si>
  <si>
    <t>36-Mths</t>
  </si>
  <si>
    <t>10% every 12 mos after 36</t>
  </si>
  <si>
    <t>Spec</t>
  </si>
  <si>
    <t>0% past 18</t>
  </si>
  <si>
    <t>Sold</t>
  </si>
  <si>
    <t>Banking Relationship Summary</t>
  </si>
  <si>
    <t>Borrower Tracking Items</t>
  </si>
  <si>
    <t>Frequency</t>
  </si>
  <si>
    <t># Days</t>
  </si>
  <si>
    <t>Last Rec'd</t>
  </si>
  <si>
    <t>Next Due</t>
  </si>
  <si>
    <t>Due Date</t>
  </si>
  <si>
    <t>Days till Due</t>
  </si>
  <si>
    <t xml:space="preserve">Guarantor(s) Tracking Items </t>
  </si>
  <si>
    <t>Quarterly Income Statement</t>
  </si>
  <si>
    <t>Year-to-Date Income Statement</t>
  </si>
  <si>
    <t>Trailing Twelve Months Income Statement</t>
  </si>
  <si>
    <t>Variance ($)</t>
  </si>
  <si>
    <t xml:space="preserve"> Variance (%)</t>
  </si>
  <si>
    <t>Revenue</t>
  </si>
  <si>
    <t>Average Unit Price</t>
  </si>
  <si>
    <t>Gross Profit</t>
  </si>
  <si>
    <t>% Gross Margin</t>
  </si>
  <si>
    <t>Operating Expenses</t>
  </si>
  <si>
    <t>% Opex of Revenue</t>
  </si>
  <si>
    <t>Net Profit</t>
  </si>
  <si>
    <t>% Net Margin</t>
  </si>
  <si>
    <t>Unit Closings</t>
  </si>
  <si>
    <t>Unit Sales</t>
  </si>
  <si>
    <t>Breakeven Unit Closings</t>
  </si>
  <si>
    <t>Velocity %</t>
  </si>
  <si>
    <t>Covenant Summary ($000s)</t>
  </si>
  <si>
    <t>Br / Grt.</t>
  </si>
  <si>
    <t>Covenant</t>
  </si>
  <si>
    <t>Compliant?</t>
  </si>
  <si>
    <t>Cushion</t>
  </si>
  <si>
    <t>Cushion %</t>
  </si>
  <si>
    <t>Borrower</t>
  </si>
  <si>
    <t>Intangibles (Bank)</t>
  </si>
  <si>
    <t>Tangible Net Worth</t>
  </si>
  <si>
    <t>Subordinated Debt</t>
  </si>
  <si>
    <t>Effective TNW</t>
  </si>
  <si>
    <t>Curtailment Schedule</t>
  </si>
  <si>
    <t>Pacing Type</t>
  </si>
  <si>
    <t>Testing Date</t>
  </si>
  <si>
    <t>Proj. Pace</t>
  </si>
  <si>
    <t>Days till Test</t>
  </si>
  <si>
    <t>On Pace?</t>
  </si>
  <si>
    <t>`</t>
  </si>
  <si>
    <r>
      <rPr>
        <b/>
        <sz val="10"/>
        <color theme="1"/>
        <rFont val="Arial Narrow"/>
        <family val="2"/>
      </rPr>
      <t xml:space="preserve">Tab Instructions: </t>
    </r>
    <r>
      <rPr>
        <b/>
        <sz val="10"/>
        <color rgb="FF0000FF"/>
        <rFont val="Arial Narrow"/>
        <family val="2"/>
      </rPr>
      <t>Blue tex</t>
    </r>
    <r>
      <rPr>
        <sz val="10"/>
        <color rgb="FF0000FF"/>
        <rFont val="Arial Narrow"/>
        <family val="2"/>
      </rPr>
      <t>t</t>
    </r>
    <r>
      <rPr>
        <sz val="10"/>
        <color theme="1"/>
        <rFont val="Arial Narrow"/>
        <family val="2"/>
      </rPr>
      <t xml:space="preserve"> has been manually hardcoded by user. Any </t>
    </r>
    <r>
      <rPr>
        <b/>
        <sz val="10"/>
        <color rgb="FFFF0000"/>
        <rFont val="Arial Narrow"/>
        <family val="2"/>
      </rPr>
      <t>red</t>
    </r>
    <r>
      <rPr>
        <sz val="10"/>
        <color theme="1"/>
        <rFont val="Arial Narrow"/>
        <family val="2"/>
      </rPr>
      <t xml:space="preserve"> or </t>
    </r>
    <r>
      <rPr>
        <b/>
        <sz val="10"/>
        <color theme="1"/>
        <rFont val="Arial Narrow"/>
        <family val="2"/>
      </rPr>
      <t>black</t>
    </r>
    <r>
      <rPr>
        <sz val="10"/>
        <color theme="1"/>
        <rFont val="Arial Narrow"/>
        <family val="2"/>
      </rPr>
      <t xml:space="preserve"> text represents a formula. When you receive a report/tracking item, manually hardcode the date received for each tracking item over the formula and change the font color to</t>
    </r>
    <r>
      <rPr>
        <b/>
        <sz val="10"/>
        <color rgb="FF0000FF"/>
        <rFont val="Arial Narrow"/>
        <family val="2"/>
      </rPr>
      <t xml:space="preserve"> blue</t>
    </r>
    <r>
      <rPr>
        <sz val="10"/>
        <color theme="1"/>
        <rFont val="Arial Narrow"/>
        <family val="2"/>
      </rPr>
      <t xml:space="preserve"> as items are received. Cells with the "DUE" formulas automatically calculate when each tracking item is due and can be dragged across cells over time as tracking items are received (and formulas are replaced with hardcoded dates). Be sure not to hardcode over all of the DUE formulas before dragging them to future periods so that the integrity of the model can remain intact. Remember to insert new columns before the highlighted column at the end of the sheet and drag the formulas across in order for the INDEX-MATCH formulas on the SUMMARY tab to continue picking up new columns.</t>
    </r>
  </si>
  <si>
    <t>insert column to left and drag formulas from right to left</t>
  </si>
  <si>
    <t>alt + h + i +c</t>
  </si>
  <si>
    <t>FACILITY AMOUNT &amp; OUTSTANDING BALANCES</t>
  </si>
  <si>
    <t>Gross Commitment</t>
  </si>
  <si>
    <t>Net Commitment</t>
  </si>
  <si>
    <t>Outstanding</t>
  </si>
  <si>
    <t>% Utilization</t>
  </si>
  <si>
    <t xml:space="preserve">RELATIONSHIP FACILITY AMOUNTS AND DEPOSITS </t>
  </si>
  <si>
    <t>Outstanding (UPB)</t>
  </si>
  <si>
    <t>Other</t>
  </si>
  <si>
    <t>Total Rel. UPB</t>
  </si>
  <si>
    <t>AVERAGE</t>
  </si>
  <si>
    <t>% Deposits (Relationship)</t>
  </si>
  <si>
    <t>-</t>
  </si>
  <si>
    <t>BORROWER TRACKING ITEMS</t>
  </si>
  <si>
    <t>FYE Audited Statements (10K)</t>
  </si>
  <si>
    <t>Annually</t>
  </si>
  <si>
    <t>Interim Statements (10Q)</t>
  </si>
  <si>
    <t>Quarterly</t>
  </si>
  <si>
    <t>Compliance Certificate</t>
  </si>
  <si>
    <t>BB Report</t>
  </si>
  <si>
    <t>Monthly</t>
  </si>
  <si>
    <t>1/22/221</t>
  </si>
  <si>
    <t>Projections</t>
  </si>
  <si>
    <t>Gtr.</t>
  </si>
  <si>
    <t>Active - Y/N?</t>
  </si>
  <si>
    <t>Name</t>
  </si>
  <si>
    <t>Guarnator 1</t>
  </si>
  <si>
    <t>n/a</t>
  </si>
  <si>
    <t>Guarantor 2</t>
  </si>
  <si>
    <t>Guarantor 3</t>
  </si>
  <si>
    <t>Guarantor 4</t>
  </si>
  <si>
    <t>Guarantor(s)</t>
  </si>
  <si>
    <t>GLOBAL INVENTORY REPORTS</t>
  </si>
  <si>
    <t>Global Sales</t>
  </si>
  <si>
    <t>Monthly Net Sales</t>
  </si>
  <si>
    <t>YTD Sales</t>
  </si>
  <si>
    <t>TTM Sales</t>
  </si>
  <si>
    <t>Global Closings</t>
  </si>
  <si>
    <t>Monthly Closings</t>
  </si>
  <si>
    <t>YTD Closings</t>
  </si>
  <si>
    <t>TTM</t>
  </si>
  <si>
    <t>Global Cancellations</t>
  </si>
  <si>
    <t>Cancellation Rate</t>
  </si>
  <si>
    <t>Monthly Cancellations</t>
  </si>
  <si>
    <t>YTD Cancellations</t>
  </si>
  <si>
    <t>Unit Cancellations</t>
  </si>
  <si>
    <t xml:space="preserve">Global Inventory </t>
  </si>
  <si>
    <t>Sold U/C</t>
  </si>
  <si>
    <t>Sold CO</t>
  </si>
  <si>
    <t>Backlog</t>
  </si>
  <si>
    <t>Spec U/C</t>
  </si>
  <si>
    <t>Spec CO</t>
  </si>
  <si>
    <t>Total Spec Homes in Production</t>
  </si>
  <si>
    <t>Total Units</t>
  </si>
  <si>
    <t>Total Units (w/Backlog)</t>
  </si>
  <si>
    <t>Global Inventory Ratios</t>
  </si>
  <si>
    <t>Sold Units</t>
  </si>
  <si>
    <t>Spec Units</t>
  </si>
  <si>
    <t>Spec/Model Units</t>
  </si>
  <si>
    <t>Completed Spec</t>
  </si>
  <si>
    <t>Current Months of Supply</t>
  </si>
  <si>
    <t>Lots Owned &amp; Controlled</t>
  </si>
  <si>
    <t>Months of Supply</t>
  </si>
  <si>
    <t>PROJECT SPECIFIC INVENTORY</t>
  </si>
  <si>
    <t>Project Month #</t>
  </si>
  <si>
    <t>Project Sales</t>
  </si>
  <si>
    <t>TTM Closings</t>
  </si>
  <si>
    <t>Curtailments</t>
  </si>
  <si>
    <t>Monthly Starts</t>
  </si>
  <si>
    <t>Income Statement ($000s)</t>
  </si>
  <si>
    <t>Year</t>
  </si>
  <si>
    <t>Quarter</t>
  </si>
  <si>
    <t>% growth</t>
  </si>
  <si>
    <t>Net Margin</t>
  </si>
  <si>
    <t>Year-To-Date</t>
  </si>
  <si>
    <t>Trailing Twelve Months</t>
  </si>
  <si>
    <t>Summary Balance Sheet ($000s)</t>
  </si>
  <si>
    <t>Account</t>
  </si>
  <si>
    <t>Cash &amp; Equivalent</t>
  </si>
  <si>
    <t>Current Assets</t>
  </si>
  <si>
    <t>Total Assets</t>
  </si>
  <si>
    <t>Current Liabilities</t>
  </si>
  <si>
    <t>Total Liabilities</t>
  </si>
  <si>
    <t>Total Net Worth</t>
  </si>
  <si>
    <t>Total Liabilities &amp; Equity</t>
  </si>
  <si>
    <t xml:space="preserve">Balance Sheet Check = $0 </t>
  </si>
  <si>
    <t>Risk Assets - Heat Map</t>
  </si>
  <si>
    <t>Risk Assets</t>
  </si>
  <si>
    <t>Land</t>
  </si>
  <si>
    <t>Land Development</t>
  </si>
  <si>
    <t>Developed Lots</t>
  </si>
  <si>
    <t>Total Risk Assets</t>
  </si>
  <si>
    <t>% Risk Assets to Total Assets</t>
  </si>
  <si>
    <t>% Land to Total Assets</t>
  </si>
  <si>
    <t>% LUD to Total Assets</t>
  </si>
  <si>
    <t>% Finished Lots to Total Assets</t>
  </si>
  <si>
    <t>% Land of Risk Assets</t>
  </si>
  <si>
    <t>% LUD of Risk Assets</t>
  </si>
  <si>
    <t>% Finished Lots of Risk Assets</t>
  </si>
  <si>
    <t>Covenant Analysis</t>
  </si>
  <si>
    <t>Liquidity Calculation:</t>
  </si>
  <si>
    <t>Cash &amp; Equivalents</t>
  </si>
  <si>
    <t>Available to Draw</t>
  </si>
  <si>
    <t>Less: Agg Principal amt of O/S loans</t>
  </si>
  <si>
    <t>Less: Agg Amt of LOC</t>
  </si>
  <si>
    <t>Less: DPP</t>
  </si>
  <si>
    <t>Liquidity</t>
  </si>
  <si>
    <t>Tangible Net Worth Calculation:</t>
  </si>
  <si>
    <t>Equity</t>
  </si>
  <si>
    <t>Less: Intangibles per Bank Definition</t>
  </si>
  <si>
    <t>Deferred Tax Assets</t>
  </si>
  <si>
    <t>Equity Issuances</t>
  </si>
  <si>
    <t>Effective Tangible Net Worth</t>
  </si>
  <si>
    <t>ETNW Per Compliance Certificate</t>
  </si>
  <si>
    <t>Maintenance Leverage Ratio:</t>
  </si>
  <si>
    <t>Notes Payable</t>
  </si>
  <si>
    <t>TNW</t>
  </si>
  <si>
    <t>Total Capilizaton</t>
  </si>
  <si>
    <t>Maintenance Leverage Ratio</t>
  </si>
  <si>
    <t>Model and Spec Limit</t>
  </si>
  <si>
    <t>Units Closed Previous 2Qs</t>
  </si>
  <si>
    <t>Models and Specs</t>
  </si>
  <si>
    <t>Permitted Investments:</t>
  </si>
  <si>
    <t>Cash and Equivalents</t>
  </si>
  <si>
    <t>Investments in JV</t>
  </si>
  <si>
    <t>Permitted Investments</t>
  </si>
  <si>
    <t>Maximum Housing Inventory:</t>
  </si>
  <si>
    <t>Total number of units closed in previous 2 quarters (Limit 1)</t>
  </si>
  <si>
    <t>Total number above multiplied by 2</t>
  </si>
  <si>
    <t>Total number of units closed in previous 12 mos (Limit 2)</t>
  </si>
  <si>
    <t>Total number Specs and Models in Inventory</t>
  </si>
  <si>
    <t>Greater of Limit 1 &amp; 2</t>
  </si>
  <si>
    <t>Quarterly Wholesale Closings</t>
  </si>
  <si>
    <t>Maximum Housing Inventory</t>
  </si>
  <si>
    <t>Limitation on Wholesale Closings:</t>
  </si>
  <si>
    <t>Wholesale Closings TTM</t>
  </si>
  <si>
    <t>Total Closings TTM</t>
  </si>
  <si>
    <t>Wholesale Closings Limitation</t>
  </si>
  <si>
    <t>Maximum Letters of Credit:</t>
  </si>
  <si>
    <t>Letters of Credit Issued Outside of Facility</t>
  </si>
  <si>
    <t>Letters of Credit Issued</t>
  </si>
  <si>
    <t>Interest Coverage Ratio:</t>
  </si>
  <si>
    <t>EBITDA</t>
  </si>
  <si>
    <t>Interest Expense</t>
  </si>
  <si>
    <t>Interest Coverage Ratio</t>
  </si>
  <si>
    <t>Interest Incurred</t>
  </si>
  <si>
    <t>Net Income</t>
  </si>
  <si>
    <t>Depreciation and Ammortization</t>
  </si>
  <si>
    <t>Income Tax Provision</t>
  </si>
  <si>
    <t>Income Tax Provision to use</t>
  </si>
  <si>
    <t>EBITDA TTM</t>
  </si>
  <si>
    <t>Tier Guideline Heat Map</t>
  </si>
  <si>
    <t>Category</t>
  </si>
  <si>
    <t>Top</t>
  </si>
  <si>
    <t>Tier 1</t>
  </si>
  <si>
    <t>Tier 2</t>
  </si>
  <si>
    <t>Tier 3</t>
  </si>
  <si>
    <t>Net Worth</t>
  </si>
  <si>
    <t>&gt;$30MM</t>
  </si>
  <si>
    <t>&gt;$15MM - $30MM</t>
  </si>
  <si>
    <t>&gt;$7.5MM - $15MM</t>
  </si>
  <si>
    <t>&lt;$7.5MM</t>
  </si>
  <si>
    <t># Closings ( TTM)</t>
  </si>
  <si>
    <t>400+</t>
  </si>
  <si>
    <t>200-400</t>
  </si>
  <si>
    <t>50 - 200</t>
  </si>
  <si>
    <t>&lt;50</t>
  </si>
  <si>
    <t>Leverage</t>
  </si>
  <si>
    <t>&lt; 2.0:1</t>
  </si>
  <si>
    <t>&gt;2.0 - &lt;3.5:1</t>
  </si>
  <si>
    <t>&gt;3.5 - &lt;4.5:1</t>
  </si>
  <si>
    <t>&gt;4.5:1</t>
  </si>
  <si>
    <t>Max. Risk Assets to total assets</t>
  </si>
  <si>
    <t>&lt;30%</t>
  </si>
  <si>
    <t>&lt;35%</t>
  </si>
  <si>
    <t>&lt;45%</t>
  </si>
  <si>
    <t>&gt;45%</t>
  </si>
  <si>
    <t>Liquidity (%TA or Mths Op.Cost)</t>
  </si>
  <si>
    <t>&gt;3% or &gt;9X Op cost</t>
  </si>
  <si>
    <t>&gt;3% or &gt;7X Op cost</t>
  </si>
  <si>
    <t>&gt;5% or &gt; 5X Op cost</t>
  </si>
  <si>
    <t>&gt;5% or &lt;5X Op cost</t>
  </si>
  <si>
    <t>Years in business</t>
  </si>
  <si>
    <t>&gt;15 years</t>
  </si>
  <si>
    <t>7-15 years</t>
  </si>
  <si>
    <t>3 - 7 years</t>
  </si>
  <si>
    <t>&lt; 3 years</t>
  </si>
  <si>
    <t>Final Tier Rating:</t>
  </si>
  <si>
    <t>Actual</t>
  </si>
  <si>
    <t>Established in</t>
  </si>
  <si>
    <t>BCN BUDGET</t>
  </si>
  <si>
    <t>Home Sales Revenue</t>
  </si>
  <si>
    <t>Other Revenue</t>
  </si>
  <si>
    <t xml:space="preserve"> alt + h + i + c (insert more columns before pasting budget)</t>
  </si>
  <si>
    <t>Total Revenue</t>
  </si>
  <si>
    <t>Cost of Sales - Land</t>
  </si>
  <si>
    <t>Cost of Sales - Vertical</t>
  </si>
  <si>
    <t>Total Cost of Sales</t>
  </si>
  <si>
    <t>Gross Margin</t>
  </si>
  <si>
    <t>Expenses</t>
  </si>
  <si>
    <t>Indirect Construction</t>
  </si>
  <si>
    <t>Financing</t>
  </si>
  <si>
    <t>Sales</t>
  </si>
  <si>
    <t>Marketing</t>
  </si>
  <si>
    <t>G&amp;A</t>
  </si>
  <si>
    <t xml:space="preserve">Total </t>
  </si>
  <si>
    <t>Rolling Net Margin</t>
  </si>
  <si>
    <t xml:space="preserve">Starts </t>
  </si>
  <si>
    <t>Closings</t>
  </si>
  <si>
    <t>Avg Sales Price</t>
  </si>
  <si>
    <t>Starts</t>
  </si>
  <si>
    <t>Year-to-Date</t>
  </si>
  <si>
    <t>Global Sales / Closings</t>
  </si>
  <si>
    <t>Project Sales / Closings</t>
  </si>
  <si>
    <t>Inventory Status Graph (Bar Chart and Pie Chart)</t>
  </si>
  <si>
    <t>Global Lot Inventory and MOS</t>
  </si>
  <si>
    <t>Avg. TTM Monthly Closings</t>
  </si>
  <si>
    <t>Lot MOS</t>
  </si>
  <si>
    <t>Global Units in Inventory and MOS</t>
  </si>
  <si>
    <t>Units in Inventory</t>
  </si>
  <si>
    <t>Inventory MOS</t>
  </si>
  <si>
    <t>Spec Inventory MOS</t>
  </si>
  <si>
    <t>Compl. Specs MOS</t>
  </si>
  <si>
    <t>Borrower Banking Summary Graph</t>
  </si>
  <si>
    <t>Outstanding and Utilization ($000s)</t>
  </si>
  <si>
    <t>Gross Commitment (graph)</t>
  </si>
  <si>
    <t>Net Commitment (graph)</t>
  </si>
  <si>
    <t xml:space="preserve"> REGION PORTFOLIO SUMMARY ($000s)</t>
  </si>
  <si>
    <t>Facility Amount</t>
  </si>
  <si>
    <t>UPB</t>
  </si>
  <si>
    <t>Relationship Deposits</t>
  </si>
  <si>
    <t>% Deposits (Rel. UPB)</t>
  </si>
  <si>
    <t>Risk Rating</t>
  </si>
  <si>
    <t xml:space="preserve">Tier </t>
  </si>
  <si>
    <t>Current / Past Due Reporting</t>
  </si>
  <si>
    <t xml:space="preserve"> Net Worth</t>
  </si>
  <si>
    <t>Debt to Net Worth</t>
  </si>
  <si>
    <t>Compl. Specs</t>
  </si>
  <si>
    <t>BUILDER NAME</t>
  </si>
  <si>
    <t>RM</t>
  </si>
  <si>
    <t>PM</t>
  </si>
  <si>
    <t>Current</t>
  </si>
  <si>
    <t>Rec.</t>
  </si>
  <si>
    <t>Required</t>
  </si>
  <si>
    <t>^ Global</t>
  </si>
  <si>
    <r>
      <t>HLOOKUP(</t>
    </r>
    <r>
      <rPr>
        <sz val="11"/>
        <color rgb="FF006CBE"/>
        <rFont val="Consolas"/>
        <family val="3"/>
      </rPr>
      <t>P5</t>
    </r>
    <r>
      <rPr>
        <sz val="11"/>
        <color rgb="FF242424"/>
        <rFont val="Consolas"/>
        <family val="3"/>
      </rPr>
      <t>,Covenants!$B$28:$ZZ$36,6)</t>
    </r>
  </si>
  <si>
    <r>
      <t>HLOOKUP(</t>
    </r>
    <r>
      <rPr>
        <sz val="11"/>
        <color rgb="FF006CBE"/>
        <rFont val="Consolas"/>
        <family val="3"/>
      </rPr>
      <t>P5</t>
    </r>
    <r>
      <rPr>
        <sz val="11"/>
        <color rgb="FF242424"/>
        <rFont val="Consolas"/>
        <family val="3"/>
      </rPr>
      <t>,Covenants!$B$28:$ZZ$36,5)</t>
    </r>
  </si>
  <si>
    <r>
      <t>IFNA(HLOOKUP(</t>
    </r>
    <r>
      <rPr>
        <sz val="11"/>
        <color rgb="FF006CBE"/>
        <rFont val="Consolas"/>
        <family val="3"/>
      </rPr>
      <t>T5</t>
    </r>
    <r>
      <rPr>
        <sz val="11"/>
        <color rgb="FF242424"/>
        <rFont val="Consolas"/>
        <family val="3"/>
      </rPr>
      <t>,'Graph Support'!$B$14:$N$28,14),"NA")</t>
    </r>
  </si>
  <si>
    <r>
      <t>IFNA(INDEX('Graph Support'!$B$13:$N$41,MATCH(</t>
    </r>
    <r>
      <rPr>
        <sz val="11"/>
        <color rgb="FF006CBE"/>
        <rFont val="Consolas"/>
        <family val="3"/>
      </rPr>
      <t>'Quarterly PR'!$U$4</t>
    </r>
    <r>
      <rPr>
        <sz val="11"/>
        <color rgb="FF242424"/>
        <rFont val="Consolas"/>
        <family val="3"/>
      </rPr>
      <t>,'Graph Support'!$B$13:$B$41,0),MATCH(</t>
    </r>
    <r>
      <rPr>
        <sz val="11"/>
        <color rgb="FFBC2F32"/>
        <rFont val="Consolas"/>
        <family val="3"/>
      </rPr>
      <t>'Quarterly PR'!$U$5</t>
    </r>
    <r>
      <rPr>
        <sz val="11"/>
        <color rgb="FF242424"/>
        <rFont val="Consolas"/>
        <family val="3"/>
      </rPr>
      <t>,'Graph Support'!$B$14:$N$14,0)),"NA")</t>
    </r>
  </si>
  <si>
    <t>CENTRAL REGION PORTFOLIO BREAKEVEN SUMMARY</t>
  </si>
  <si>
    <t>Monthly Sales &amp; Closings</t>
  </si>
  <si>
    <t>Breakeven &amp; Inventory Metrics</t>
  </si>
  <si>
    <t>TTM Financials ($000s)</t>
  </si>
  <si>
    <t>Monthly Sales</t>
  </si>
  <si>
    <t>Velocity</t>
  </si>
  <si>
    <t>Lots Under Control</t>
  </si>
  <si>
    <t>MOS</t>
  </si>
  <si>
    <t>Trailing Four Quarter Sales and Closings</t>
  </si>
  <si>
    <t>Breakeven &amp; Sales Summary</t>
  </si>
  <si>
    <t>2016 FYE B/E</t>
  </si>
  <si>
    <t>Current B/E</t>
  </si>
  <si>
    <t>Net Sales TTM</t>
  </si>
  <si>
    <t>Net Closings  TTM</t>
  </si>
  <si>
    <t>Avg Monthly Sales</t>
  </si>
  <si>
    <t>Avg Monthly B/E</t>
  </si>
  <si>
    <t>BC Brennan, LLC</t>
  </si>
  <si>
    <t>Trujillo</t>
  </si>
  <si>
    <t>^Project TTM sales and Closings</t>
  </si>
  <si>
    <t>Synd. / Partic.</t>
  </si>
  <si>
    <t>Project</t>
  </si>
  <si>
    <t>Units</t>
  </si>
  <si>
    <t>Prior Year</t>
  </si>
  <si>
    <t>A&amp;D</t>
  </si>
  <si>
    <t>LOC</t>
  </si>
  <si>
    <t>Global</t>
  </si>
  <si>
    <t>Percent Total</t>
  </si>
  <si>
    <t>Budget</t>
  </si>
  <si>
    <t>AD&amp;C</t>
  </si>
  <si>
    <t>I</t>
  </si>
  <si>
    <t>Participation:</t>
  </si>
  <si>
    <t>Vertical</t>
  </si>
  <si>
    <t>II</t>
  </si>
  <si>
    <t>III</t>
  </si>
  <si>
    <t>Other 1</t>
  </si>
  <si>
    <t>Other 2</t>
  </si>
  <si>
    <t>Ratios</t>
  </si>
  <si>
    <t>Debt to TNW</t>
  </si>
  <si>
    <t>Debt to ETNW</t>
  </si>
  <si>
    <t>Adjusted Working Capital</t>
  </si>
  <si>
    <t>% of TTM Revenue</t>
  </si>
  <si>
    <t>Risk Asset Turnover</t>
  </si>
  <si>
    <t>Risk Asset Days in Inventory</t>
  </si>
  <si>
    <t>Return on Equity</t>
  </si>
  <si>
    <t>Return on Assets</t>
  </si>
  <si>
    <t>RM Name / PM Name</t>
  </si>
  <si>
    <t>123 Fake Co</t>
  </si>
  <si>
    <r>
      <rPr>
        <b/>
        <sz val="10"/>
        <color rgb="FF000000"/>
        <rFont val="Arial Narrow"/>
        <family val="2"/>
      </rPr>
      <t>Relationship Comments (compliance/trends/last inspection date/other):</t>
    </r>
    <r>
      <rPr>
        <i/>
        <sz val="10"/>
        <color rgb="FF000000"/>
        <rFont val="Arial Narrow"/>
        <family val="2"/>
      </rPr>
      <t xml:space="preserve"> </t>
    </r>
    <r>
      <rPr>
        <sz val="10"/>
        <color rgb="FF0000FF"/>
        <rFont val="Arial Narrow"/>
        <family val="2"/>
      </rPr>
      <t>Lender has a $75MM commitment in the $1.182B Unsecured Revolving Credit Facility, subject to a borrowing base.  Agent is Wells Fargo.  Most recent annual renewal approved April 2025 extending maturity by 12 months to 4/28/29, adjusting borrowing base components and percentages, removing maximum spec covenant, and tightening the TNW covenant. In June 2025, Mod was signed to acknowledge final bank group allocation of $1.182B and acknowledge requisite lenders approved allowing 123 Fake Co. and/or its Subsidiary Guarantors to provide a repayment guaranty for a secured debt issuance specifically related to the single-family rental portfolio.
For the quarter ended 3/31/26, 123 Fake Co reported 1QE metrics with 881 closings, $319.7MM in revenue, and $4.3MM net income. These metrics are a decrease compared to 1QE 2025 where the Company reported 996 closings, $351.4MM in revenue, and $5.7MM net income. The decrease in home sales revenue was primarily due to a 11.5% decrease in the number of homes closed. The overall decrease in home closings was a result of a lower absorption rate, partially offset by a higher average community count, during 1Q26 compared to 1Q25. The decrease in net income was primarily attributed to overall lower number of homes closed, lower home sales revenues and gross margin, as well as an increase in SG&amp;A compared to the first quarter of 2025. 
Despite a YOY decrease in closings, revenue, and net income, the Company remains well-capitalized with TNW of $2.1 BN, liquidity of $355MM, and leverage of 0.80x (debt to TNW as reported on 12/31/25 compliance certificate). 123 Fake Co is now active in 144 communities across 36 MSAs and 21 states making it very well-diversified. Borrower is in compliance with all covenants.  No change in risk rating is recommended.</t>
    </r>
  </si>
  <si>
    <r>
      <rPr>
        <b/>
        <i/>
        <sz val="10"/>
        <color rgb="FF000000"/>
        <rFont val="Arial Narrow"/>
        <family val="2"/>
      </rPr>
      <t xml:space="preserve">Notes: </t>
    </r>
    <r>
      <rPr>
        <i/>
        <sz val="10"/>
        <color rgb="FF0000FF"/>
        <rFont val="Arial Narrow"/>
        <family val="2"/>
      </rPr>
      <t xml:space="preserve">As of 3/31/26, inventory represented 88.3% of TA.  Liabilities totaled $1.9 BN, primarily consisting of $579MM on Revolving Credit Agreement and $1.1 BN on Senior Notes.  123 Fake Co reported ETNW of $2.1 BN and </t>
    </r>
    <r>
      <rPr>
        <sz val="10"/>
        <color rgb="FF0000FF"/>
        <rFont val="Arial Narrow"/>
        <family val="2"/>
      </rPr>
      <t xml:space="preserve">Operating Leverage of 45.2%, with Liquidity of $355MM (per 3/31/26 compliance certificate).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</si>
</sst>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0\);_(* &quot;-&quot;??_);_(@_)"/>
    <numFmt numFmtId="166" formatCode="General_)"/>
    <numFmt numFmtId="167" formatCode="0.000"/>
    <numFmt numFmtId="168" formatCode="&quot;fl&quot;#,##0_);\(&quot;fl&quot;#,##0\)"/>
    <numFmt numFmtId="169" formatCode="&quot;fl&quot;#,##0_);[Red]\(&quot;fl&quot;#,##0\)"/>
    <numFmt numFmtId="170" formatCode="&quot;fl&quot;#,##0.00_);\(&quot;fl&quot;#,##0.00\)"/>
    <numFmt numFmtId="171" formatCode="_(* #,###.0_);_(* \(#,###.0\);_(* &quot;-&quot;?_);_(@_)"/>
    <numFmt numFmtId="172" formatCode="#,##0;[Red]\-#,##0"/>
    <numFmt numFmtId="173" formatCode="_([$€-2]* #,##0.00_);_([$€-2]* \(#,##0.00\);_([$€-2]* &quot;-&quot;??_)"/>
    <numFmt numFmtId="174" formatCode="_(\ #,##0.0_%_);_(\ \(#,##0.0_%\);_(\ &quot; - &quot;_%_);_(@_)"/>
    <numFmt numFmtId="175" formatCode="_(\ #,##0.0%_);_(\ \(#,##0.0%\);_(\ &quot; - &quot;\%_);_(@_)"/>
    <numFmt numFmtId="176" formatCode="#,##0_);\(#,##0\);&quot; - &quot;_);@_)"/>
    <numFmt numFmtId="177" formatCode="\ #,##0.0_);\(#,##0.0\);&quot; - &quot;_);@_)"/>
    <numFmt numFmtId="178" formatCode="\ #,##0.00_);\(#,##0.00\);&quot; - &quot;_);@_)"/>
    <numFmt numFmtId="179" formatCode="\ #,##0.000_);\(#,##0.000\);&quot; - &quot;_);@_)"/>
    <numFmt numFmtId="180" formatCode="#,##0;\(#,##0\);&quot;-&quot;"/>
    <numFmt numFmtId="181" formatCode="d\ mmmm\ yyyy"/>
    <numFmt numFmtId="182" formatCode="#,##0;[Red]\(#,##0\);0"/>
    <numFmt numFmtId="183" formatCode="_-* #,##0_-;\-* #,##0_-;_-* &quot;-&quot;_-;_-@_-"/>
    <numFmt numFmtId="184" formatCode="0.00_)"/>
    <numFmt numFmtId="185" formatCode="0%_);\(0%\)"/>
    <numFmt numFmtId="186" formatCode="\60\4\7\:"/>
    <numFmt numFmtId="187" formatCode="0.00;[Red]0.00"/>
    <numFmt numFmtId="188" formatCode="&quot;fl&quot;#,##0.00_);[Red]\(&quot;fl&quot;#,##0.00\)"/>
    <numFmt numFmtId="189" formatCode="_(&quot;fl&quot;* #,##0_);_(&quot;fl&quot;* \(#,##0\);_(&quot;fl&quot;* &quot;-&quot;_);_(@_)"/>
    <numFmt numFmtId="190" formatCode="_(&quot;$&quot;* #,##0_);_(&quot;$&quot;* \(#,##0\);_(&quot;$&quot;* &quot;-&quot;??_);_(@_)"/>
    <numFmt numFmtId="191" formatCode="_(* #,##0_);_(* \(#,##0\);_(* &quot;-&quot;??_);_(@_)"/>
    <numFmt numFmtId="192" formatCode="0.0"/>
    <numFmt numFmtId="193" formatCode="#,###,##0;\(#,###,##0\)"/>
    <numFmt numFmtId="194" formatCode="0.0%_);\(0.0%\)"/>
    <numFmt numFmtId="195" formatCode="0.0000%"/>
    <numFmt numFmtId="196" formatCode=";;;"/>
    <numFmt numFmtId="197" formatCode="#,##0;\(#,##0\)"/>
    <numFmt numFmtId="198" formatCode="0.00&quot;x&quot;"/>
    <numFmt numFmtId="199" formatCode="&quot;$&quot;#,##0.0_);\(&quot;$&quot;#,##0.0\)"/>
    <numFmt numFmtId="200" formatCode="mmmmddyyyy"/>
    <numFmt numFmtId="201" formatCode="yyyymmmmdd"/>
    <numFmt numFmtId="202" formatCode="#,##0.0_);\(#,##0.0\)"/>
    <numFmt numFmtId="203" formatCode="_(* #,##0%_);_(* \(#,##0%\);_(* &quot;-&quot;?_);_(@_)"/>
    <numFmt numFmtId="204" formatCode="_(* #,##0.00%_);_(* \(#,##0.00%\);_(* &quot;-&quot;?_);_(@_)"/>
    <numFmt numFmtId="205" formatCode="&quot;$&quot;#,##0.00"/>
    <numFmt numFmtId="206" formatCode="#,##0\ ;\(#,##0\);\-\ \ \ \ \ "/>
    <numFmt numFmtId="207" formatCode="#,##0\ ;\(#,##0\);\–\ \ \ \ \ "/>
    <numFmt numFmtId="208" formatCode="&quot;Terminal Value @&quot;\ 0.0\x\ &quot;Yr 2001 BCF&quot;"/>
    <numFmt numFmtId="209" formatCode="#,##0;\-#,##0;&quot;-&quot;"/>
    <numFmt numFmtId="210" formatCode="\$#,##0.00_);[Red]&quot;($&quot;#,##0.00\)"/>
    <numFmt numFmtId="211" formatCode="0.000_)"/>
    <numFmt numFmtId="212" formatCode="#,##0.0"/>
    <numFmt numFmtId="213" formatCode="#,##0;[Red]\(#,##0\)"/>
    <numFmt numFmtId="214" formatCode="_-* #,##0.00\ _P_t_s_-;\-* #,##0.00\ _P_t_s_-;_-* &quot;-&quot;??\ _P_t_s_-;_-@_-"/>
    <numFmt numFmtId="215" formatCode="#,##0.00\ _$;[Red]\-#,##0.00\ _$"/>
    <numFmt numFmtId="216" formatCode="#,##0.000_);\(#,##0.000\)"/>
    <numFmt numFmtId="217" formatCode="_-* #,##0\ _P_t_s_-;\-* #,##0\ _P_t_s_-;_-* &quot;-&quot;\ _P_t_s_-;_-@_-"/>
    <numFmt numFmtId="218" formatCode="[$$-409]\ #,##0"/>
    <numFmt numFmtId="219" formatCode="_(&quot;$&quot;* #,##0.0,_);_(&quot;$&quot;* \(#,##0.0,\);_(&quot;$&quot;* &quot;-&quot;_);_(@_)"/>
    <numFmt numFmtId="220" formatCode="_-* #,##0.00\ [$€]_-;\-* #,##0.00\ [$€]_-;_-* &quot;-&quot;??\ [$€]_-;_-@_-"/>
    <numFmt numFmtId="221" formatCode="0.0000000000000000%"/>
    <numFmt numFmtId="222" formatCode="&quot;$&quot;#,###,##0.0;\(&quot;$&quot;#,###,##0.0\)"/>
    <numFmt numFmtId="223" formatCode="#,##0.00%;\(#,##0.00%\)"/>
    <numFmt numFmtId="224" formatCode=";;"/>
    <numFmt numFmtId="225" formatCode="&quot;$&quot;#,##0.0,_);\(&quot;$&quot;#,##0.0,\)"/>
    <numFmt numFmtId="226" formatCode="_-* #,##0\ &quot;Pts&quot;_-;\-* #,##0\ &quot;Pts&quot;_-;_-* &quot;-&quot;\ &quot;Pts&quot;_-;_-@_-"/>
    <numFmt numFmtId="227" formatCode="_-* #,##0.00\ &quot;Pts&quot;_-;\-* #,##0.00\ &quot;Pts&quot;_-;_-* &quot;-&quot;??\ &quot;Pts&quot;_-;_-@_-"/>
    <numFmt numFmtId="228" formatCode="#,##0\ \ \ ;[Red]\(#,##0\)\ \ ;\—\ \ \ \ "/>
    <numFmt numFmtId="229" formatCode="0.0_)"/>
    <numFmt numFmtId="230" formatCode="_(&quot;$&quot;* #,##0_);_(&quot;$&quot;* \(#,##0\);_(&quot;$&quot;* &quot;-&quot;????_);_(@_)"/>
    <numFmt numFmtId="231" formatCode="0&quot; yrs&quot;"/>
    <numFmt numFmtId="232" formatCode="_(* #,##0_);_(* \(#,##0\);_(* &quot;-&quot;????_);_(@_)"/>
    <numFmt numFmtId="233" formatCode="0__"/>
    <numFmt numFmtId="234" formatCode="m/d/yy\ h:mm\ AM/PM"/>
    <numFmt numFmtId="235" formatCode="0.00%___)"/>
    <numFmt numFmtId="236" formatCode="_(* #,##0_);_(* \(#,##0\)"/>
    <numFmt numFmtId="237" formatCode="&quot;(&quot;0.0\ &quot;yrs)&quot;"/>
    <numFmt numFmtId="238" formatCode="0___)"/>
    <numFmt numFmtId="239" formatCode="&quot;$&quot;#,##0.00000000000000000000000000000_);[Red]\(&quot;$&quot;#,##0.00000000000000000000000000000\)"/>
    <numFmt numFmtId="240" formatCode="0.0_%"/>
    <numFmt numFmtId="241" formatCode="0.00\ \x_);\(0.00\ \x\)"/>
    <numFmt numFmtId="242" formatCode="0.00\ \x"/>
    <numFmt numFmtId="243" formatCode="#,##0.00000_);\(#,##0.00000\)"/>
    <numFmt numFmtId="244" formatCode="0.00000000"/>
    <numFmt numFmtId="245" formatCode="#,##0.00&quot;x&quot;"/>
    <numFmt numFmtId="246" formatCode="&quot;Fiscal &quot;0"/>
    <numFmt numFmtId="247" formatCode="0.0000000"/>
    <numFmt numFmtId="248" formatCode="dd\-mmm\-yy_)"/>
    <numFmt numFmtId="249" formatCode="&quot;$&quot;#,##0"/>
    <numFmt numFmtId="250" formatCode="yyyy"/>
    <numFmt numFmtId="251" formatCode="0&quot; E&quot;"/>
    <numFmt numFmtId="252" formatCode="0.0_x"/>
    <numFmt numFmtId="253" formatCode="&quot;$&quot;#,##0.0"/>
    <numFmt numFmtId="254" formatCode="0.0000"/>
    <numFmt numFmtId="255" formatCode="\$#,##0.0;[Red]\$#,##0.0"/>
    <numFmt numFmtId="256" formatCode="\$#,##0.000000_%_);&quot;($&quot;#,##0.000000\)_%;\$#,##0.000000_%_);@_%_)"/>
    <numFmt numFmtId="257" formatCode="\$#,##0.0;&quot;($&quot;#,##0.0\)"/>
    <numFmt numFmtId="258" formatCode="#,##0.0_);[Red]\(#,##0.0\)"/>
    <numFmt numFmtId="259" formatCode="m/d"/>
    <numFmt numFmtId="260" formatCode="&quot;RECAP&quot;;&quot;Error&quot;;&quot;&quot;"/>
    <numFmt numFmtId="261" formatCode="#,##0.00\ \x"/>
    <numFmt numFmtId="262" formatCode="_(&quot;Bs&quot;\ * #,##0_);_(&quot;Bs&quot;\ * \(#,##0\);_(&quot;Bs&quot;\ * &quot;-&quot;_);_(@_)"/>
    <numFmt numFmtId="263" formatCode="_(&quot;Bs&quot;\ * #,##0.00_);_(&quot;Bs&quot;\ * \(#,##0.00\);_(&quot;Bs&quot;\ * &quot;-&quot;??_);_(@_)"/>
    <numFmt numFmtId="264" formatCode="[$-409]mmm\-yy;@"/>
    <numFmt numFmtId="265" formatCode="0.0%_);[Red]\(0.0%\)"/>
    <numFmt numFmtId="266" formatCode="0%&quot; acceleration&quot;"/>
    <numFmt numFmtId="267" formatCode="0&quot; units/lots&quot;"/>
    <numFmt numFmtId="268" formatCode="0.0&quot;/Mth&quot;"/>
    <numFmt numFmtId="269" formatCode="0&quot; days&quot;"/>
    <numFmt numFmtId="270" formatCode="mm/dd/yy;@"/>
    <numFmt numFmtId="271" formatCode="#,##0\ &quot;days&quot;"/>
    <numFmt numFmtId="272" formatCode="0&quot; days&quot;;[Red]\ 0&quot; days overdue&quot;"/>
    <numFmt numFmtId="273" formatCode="0%&quot; of PAR&quot;"/>
    <numFmt numFmtId="274" formatCode="&quot;Less: &quot;@"/>
    <numFmt numFmtId="275" formatCode="&quot;Plus: &quot;@"/>
    <numFmt numFmtId="276" formatCode="[$-409]mmmm\-yy;@"/>
    <numFmt numFmtId="277" formatCode="_(* #,##0.0_);_(* \(#,##0.0\);_(* &quot;-&quot;??_);_(@_)"/>
  </numFmts>
  <fonts count="327">
    <font>
      <sz val="11"/>
      <color theme="1"/>
      <name val="Calibri"/>
      <family val="2"/>
      <scheme val="minor"/>
    </font>
    <font>
      <sz val="11"/>
      <color theme="1"/>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2"/>
    </font>
    <font>
      <b/>
      <sz val="18"/>
      <color theme="3"/>
      <name val="Calibri Light"/>
      <family val="2"/>
      <scheme val="major"/>
    </font>
    <font>
      <u/>
      <sz val="11"/>
      <color theme="10"/>
      <name val="Calibri"/>
      <family val="2"/>
      <scheme val="minor"/>
    </font>
    <font>
      <sz val="9"/>
      <name val="Times New Roman"/>
      <family val="1"/>
    </font>
    <font>
      <b/>
      <sz val="11"/>
      <name val="Arial"/>
      <family val="2"/>
    </font>
    <font>
      <sz val="10"/>
      <name val="Arial"/>
      <family val="2"/>
    </font>
    <font>
      <sz val="11"/>
      <color indexed="8"/>
      <name val="Calibri"/>
      <family val="2"/>
    </font>
    <font>
      <sz val="10"/>
      <color indexed="8"/>
      <name val="Arial"/>
      <family val="2"/>
    </font>
    <font>
      <u val="doubleAccounting"/>
      <sz val="10"/>
      <name val="Times New Roman"/>
      <family val="1"/>
    </font>
    <font>
      <sz val="10"/>
      <name val="MS Sans Serif"/>
      <family val="2"/>
    </font>
    <font>
      <sz val="10"/>
      <name val="Times New Roman"/>
      <family val="1"/>
    </font>
    <font>
      <sz val="10"/>
      <name val="Arial Narrow"/>
      <family val="2"/>
    </font>
    <font>
      <i/>
      <sz val="10"/>
      <name val="Arial Narrow"/>
      <family val="2"/>
    </font>
    <font>
      <b/>
      <sz val="10"/>
      <color indexed="32"/>
      <name val="Arial Narrow"/>
      <family val="2"/>
    </font>
    <font>
      <i/>
      <sz val="10"/>
      <color indexed="32"/>
      <name val="Arial Narrow"/>
      <family val="2"/>
    </font>
    <font>
      <sz val="14"/>
      <name val="Arial"/>
      <family val="2"/>
    </font>
    <font>
      <b/>
      <sz val="12"/>
      <color indexed="55"/>
      <name val="Arial"/>
      <family val="2"/>
    </font>
    <font>
      <b/>
      <sz val="14"/>
      <name val="Arial"/>
      <family val="2"/>
    </font>
    <font>
      <b/>
      <sz val="11"/>
      <name val="Times New Roman"/>
      <family val="1"/>
    </font>
    <font>
      <b/>
      <sz val="10"/>
      <name val="Times New Roman"/>
      <family val="1"/>
    </font>
    <font>
      <b/>
      <i/>
      <sz val="9.5"/>
      <name val="Times New Roman"/>
      <family val="1"/>
    </font>
    <font>
      <sz val="10"/>
      <color indexed="32"/>
      <name val="Arial Narrow"/>
      <family val="2"/>
    </font>
    <font>
      <sz val="12"/>
      <name val="Arial"/>
      <family val="2"/>
    </font>
    <font>
      <b/>
      <sz val="16"/>
      <name val="Arial"/>
      <family val="2"/>
    </font>
    <font>
      <b/>
      <sz val="14"/>
      <color indexed="32"/>
      <name val="Arial"/>
      <family val="2"/>
    </font>
    <font>
      <sz val="8"/>
      <color indexed="32"/>
      <name val="Arial Narrow"/>
      <family val="2"/>
    </font>
    <font>
      <b/>
      <sz val="10"/>
      <name val="Arial Narrow"/>
      <family val="2"/>
    </font>
    <font>
      <b/>
      <i/>
      <sz val="10"/>
      <name val="Arial Narrow"/>
      <family val="2"/>
    </font>
    <font>
      <sz val="11"/>
      <color indexed="17"/>
      <name val="Calibri"/>
      <family val="2"/>
    </font>
    <font>
      <sz val="8"/>
      <name val="Arial"/>
      <family val="2"/>
    </font>
    <font>
      <b/>
      <sz val="12"/>
      <name val="Arial"/>
      <family val="2"/>
    </font>
    <font>
      <b/>
      <sz val="10"/>
      <name val="Arial"/>
      <family val="2"/>
    </font>
    <font>
      <b/>
      <i/>
      <sz val="16"/>
      <name val="Helv"/>
    </font>
    <font>
      <sz val="8"/>
      <color indexed="10"/>
      <name val="MS Sans Serif"/>
      <family val="2"/>
    </font>
    <font>
      <sz val="8"/>
      <color indexed="8"/>
      <name val="MS Sans Serif"/>
      <family val="2"/>
    </font>
    <font>
      <b/>
      <sz val="10"/>
      <name val="MS Sans Serif"/>
      <family val="2"/>
    </font>
    <font>
      <u val="singleAccounting"/>
      <sz val="10"/>
      <name val="Times New Roman"/>
      <family val="1"/>
    </font>
    <font>
      <b/>
      <sz val="10"/>
      <color indexed="8"/>
      <name val="Arial"/>
      <family val="2"/>
    </font>
    <font>
      <i/>
      <sz val="8"/>
      <color indexed="23"/>
      <name val="Arial Narrow"/>
      <family val="2"/>
    </font>
    <font>
      <b/>
      <sz val="10"/>
      <color indexed="10"/>
      <name val="Arial"/>
      <family val="2"/>
    </font>
    <font>
      <sz val="10"/>
      <color indexed="0"/>
      <name val="Arial"/>
      <family val="2"/>
    </font>
    <font>
      <sz val="11"/>
      <name val="Times New Roman"/>
      <family val="1"/>
    </font>
    <font>
      <sz val="10"/>
      <color rgb="FF000000"/>
      <name val="Times New Roman"/>
      <family val="1"/>
    </font>
    <font>
      <sz val="9"/>
      <name val="Arial"/>
      <family val="2"/>
    </font>
    <font>
      <i/>
      <sz val="10"/>
      <name val="Times New Roman"/>
      <family val="1"/>
    </font>
    <font>
      <sz val="8"/>
      <name val="Helv"/>
    </font>
    <font>
      <sz val="10"/>
      <name val="Geneva"/>
    </font>
    <font>
      <sz val="10"/>
      <name val="GillSans"/>
      <family val="2"/>
    </font>
    <font>
      <sz val="10"/>
      <color indexed="14"/>
      <name val="Baskerville MT"/>
    </font>
    <font>
      <sz val="12"/>
      <name val="???"/>
      <family val="1"/>
      <charset val="129"/>
    </font>
    <font>
      <sz val="12"/>
      <name val="¹ÙÅÁÃ¼"/>
      <family val="1"/>
      <charset val="129"/>
    </font>
    <font>
      <b/>
      <sz val="22"/>
      <color indexed="18"/>
      <name val="Arial"/>
      <family val="2"/>
    </font>
    <font>
      <sz val="10"/>
      <name val="Helv"/>
      <family val="2"/>
    </font>
    <font>
      <sz val="10"/>
      <color indexed="8"/>
      <name val="MS Sans Serif"/>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8"/>
      <color indexed="8"/>
      <name val="Times New Roman"/>
      <family val="1"/>
    </font>
    <font>
      <sz val="8"/>
      <color indexed="14"/>
      <name val="Times New Roman"/>
      <family val="1"/>
    </font>
    <font>
      <sz val="12"/>
      <name val="Times New Roman"/>
      <family val="1"/>
    </font>
    <font>
      <sz val="10"/>
      <name val="Palatino"/>
      <family val="1"/>
    </font>
    <font>
      <sz val="10"/>
      <name val="Helvetica"/>
      <family val="2"/>
    </font>
    <font>
      <sz val="14"/>
      <name val="Tms Rmn"/>
    </font>
    <font>
      <sz val="10"/>
      <color indexed="63"/>
      <name val="Cambria"/>
      <family val="4"/>
    </font>
    <font>
      <sz val="11"/>
      <color indexed="9"/>
      <name val="Calibri"/>
      <family val="2"/>
    </font>
    <font>
      <b/>
      <sz val="11"/>
      <color theme="0"/>
      <name val="Cambria"/>
      <family val="2"/>
    </font>
    <font>
      <b/>
      <sz val="12"/>
      <color indexed="8"/>
      <name val="Times New Roman"/>
      <family val="1"/>
    </font>
    <font>
      <sz val="8"/>
      <name val="Times"/>
      <family val="1"/>
    </font>
    <font>
      <sz val="8"/>
      <name val="Tahoma"/>
      <family val="2"/>
    </font>
    <font>
      <b/>
      <sz val="10"/>
      <color indexed="9"/>
      <name val="Arial Narrow"/>
      <family val="2"/>
    </font>
    <font>
      <sz val="8"/>
      <name val="Times New Roman"/>
      <family val="1"/>
    </font>
    <font>
      <sz val="11"/>
      <name val="Arial"/>
      <family val="2"/>
    </font>
    <font>
      <sz val="18"/>
      <name val="Arial"/>
      <family val="2"/>
    </font>
    <font>
      <sz val="8"/>
      <color indexed="12"/>
      <name val="Arial"/>
      <family val="2"/>
    </font>
    <font>
      <sz val="11"/>
      <color indexed="20"/>
      <name val="Calibri"/>
      <family val="2"/>
    </font>
    <font>
      <b/>
      <u/>
      <sz val="10"/>
      <name val="Times"/>
      <family val="1"/>
    </font>
    <font>
      <sz val="10"/>
      <color indexed="12"/>
      <name val="Arial"/>
      <family val="2"/>
    </font>
    <font>
      <sz val="8"/>
      <name val="Geneva"/>
    </font>
    <font>
      <sz val="8"/>
      <color indexed="12"/>
      <name val="Times New Roman"/>
      <family val="1"/>
    </font>
    <font>
      <sz val="10"/>
      <color indexed="12"/>
      <name val="MS Sans Serif"/>
      <family val="2"/>
    </font>
    <font>
      <b/>
      <sz val="10"/>
      <color indexed="9"/>
      <name val="Arial"/>
      <family val="2"/>
    </font>
    <font>
      <sz val="12"/>
      <name val="Tms Rmn"/>
    </font>
    <font>
      <sz val="8"/>
      <name val="Verdana"/>
      <family val="2"/>
    </font>
    <font>
      <b/>
      <sz val="18"/>
      <name val="Tms Rmn"/>
    </font>
    <font>
      <b/>
      <sz val="12"/>
      <name val="Times New Roman"/>
      <family val="1"/>
    </font>
    <font>
      <u val="singleAccounting"/>
      <sz val="10"/>
      <name val="Arial"/>
      <family val="2"/>
    </font>
    <font>
      <b/>
      <sz val="6"/>
      <color indexed="21"/>
      <name val="Wingdings"/>
      <charset val="2"/>
    </font>
    <font>
      <sz val="12"/>
      <name val="±¼¸²Ã¼"/>
      <family val="3"/>
      <charset val="129"/>
    </font>
    <font>
      <b/>
      <sz val="11"/>
      <color indexed="52"/>
      <name val="Calibri"/>
      <family val="2"/>
    </font>
    <font>
      <b/>
      <sz val="11"/>
      <color indexed="36"/>
      <name val="Calibri"/>
      <family val="2"/>
    </font>
    <font>
      <b/>
      <sz val="10"/>
      <name val="Helv"/>
      <family val="2"/>
    </font>
    <font>
      <sz val="8"/>
      <name val="Palatino"/>
      <family val="1"/>
    </font>
    <font>
      <b/>
      <sz val="11"/>
      <color indexed="9"/>
      <name val="Calibri"/>
      <family val="2"/>
    </font>
    <font>
      <b/>
      <i/>
      <sz val="8"/>
      <name val="Arial"/>
      <family val="2"/>
    </font>
    <font>
      <b/>
      <sz val="8"/>
      <name val="Book Antiqua"/>
      <family val="1"/>
    </font>
    <font>
      <b/>
      <sz val="8"/>
      <name val="GillSans"/>
      <family val="2"/>
    </font>
    <font>
      <b/>
      <sz val="8"/>
      <name val="Arial"/>
      <family val="2"/>
    </font>
    <font>
      <sz val="11"/>
      <name val="Times"/>
      <family val="1"/>
    </font>
    <font>
      <sz val="8"/>
      <color indexed="8"/>
      <name val="Arial"/>
      <family val="2"/>
    </font>
    <font>
      <sz val="10"/>
      <name val="Tahoma"/>
      <family val="2"/>
    </font>
    <font>
      <sz val="10"/>
      <name val="Verdana"/>
      <family val="2"/>
    </font>
    <font>
      <sz val="12"/>
      <color indexed="8"/>
      <name val="Calibri"/>
      <family val="2"/>
    </font>
    <font>
      <sz val="12"/>
      <color theme="1"/>
      <name val="Calibri"/>
      <family val="2"/>
      <scheme val="minor"/>
    </font>
    <font>
      <sz val="10"/>
      <color indexed="9"/>
      <name val="Arial"/>
      <family val="2"/>
      <charset val="204"/>
    </font>
    <font>
      <sz val="10"/>
      <name val="BERNHARD"/>
    </font>
    <font>
      <sz val="10"/>
      <name val="Helv"/>
    </font>
    <font>
      <sz val="24"/>
      <name val="Arial"/>
      <family val="2"/>
    </font>
    <font>
      <b/>
      <sz val="13"/>
      <name val="Arial"/>
      <family val="2"/>
    </font>
    <font>
      <sz val="10"/>
      <name val="MS Serif"/>
      <family val="1"/>
    </font>
    <font>
      <sz val="10"/>
      <name val="Courier"/>
      <family val="3"/>
    </font>
    <font>
      <sz val="10"/>
      <name val="Book Antiqua"/>
      <family val="1"/>
    </font>
    <font>
      <sz val="12"/>
      <name val="Helv"/>
    </font>
    <font>
      <sz val="10"/>
      <color indexed="18"/>
      <name val="Times New Roman"/>
      <family val="1"/>
    </font>
    <font>
      <sz val="10"/>
      <name val="Baskerville MT"/>
    </font>
    <font>
      <sz val="11"/>
      <name val="Baskerville MT"/>
      <family val="1"/>
    </font>
    <font>
      <sz val="10"/>
      <name val="Helvetica 55 Roman"/>
    </font>
    <font>
      <b/>
      <sz val="16"/>
      <color indexed="16"/>
      <name val="Arial"/>
      <family val="2"/>
    </font>
    <font>
      <u/>
      <sz val="8"/>
      <color indexed="12"/>
      <name val="Times New Roman"/>
      <family val="1"/>
    </font>
    <font>
      <sz val="1"/>
      <color indexed="8"/>
      <name val="Courier"/>
      <family val="3"/>
    </font>
    <font>
      <sz val="8"/>
      <color indexed="16"/>
      <name val="Helvetica"/>
      <family val="2"/>
    </font>
    <font>
      <u val="doubleAccounting"/>
      <sz val="10"/>
      <name val="Arial"/>
      <family val="2"/>
    </font>
    <font>
      <b/>
      <sz val="1"/>
      <color indexed="8"/>
      <name val="Courier"/>
      <family val="3"/>
    </font>
    <font>
      <sz val="10"/>
      <color indexed="16"/>
      <name val="MS Serif"/>
      <family val="1"/>
    </font>
    <font>
      <i/>
      <sz val="11"/>
      <color indexed="23"/>
      <name val="Calibri"/>
      <family val="2"/>
    </font>
    <font>
      <i/>
      <sz val="1"/>
      <color indexed="8"/>
      <name val="Courier"/>
      <family val="3"/>
    </font>
    <font>
      <b/>
      <i/>
      <sz val="14"/>
      <name val="Tms Rmn"/>
    </font>
    <font>
      <sz val="9"/>
      <name val="GillSans Light"/>
      <family val="2"/>
    </font>
    <font>
      <b/>
      <sz val="10"/>
      <name val="Book Antiqua"/>
      <family val="1"/>
    </font>
    <font>
      <sz val="10"/>
      <color indexed="12"/>
      <name val="Times New Roman"/>
      <family val="1"/>
    </font>
    <font>
      <sz val="11"/>
      <color indexed="12"/>
      <name val="Times New Roman"/>
      <family val="1"/>
    </font>
    <font>
      <b/>
      <sz val="12"/>
      <name val="Helv"/>
      <family val="2"/>
    </font>
    <font>
      <b/>
      <sz val="8"/>
      <color indexed="8"/>
      <name val="Tahoma"/>
      <family val="2"/>
    </font>
    <font>
      <b/>
      <sz val="16"/>
      <name val="Times New Roman"/>
      <family val="1"/>
    </font>
    <font>
      <b/>
      <u/>
      <sz val="8"/>
      <color indexed="8"/>
      <name val="Tahoma"/>
      <family val="2"/>
    </font>
    <font>
      <b/>
      <sz val="8"/>
      <name val="Palatino"/>
      <family val="1"/>
    </font>
    <font>
      <b/>
      <sz val="28"/>
      <color theme="1" tint="0.34998626667073579"/>
      <name val="Cambria"/>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b/>
      <sz val="10"/>
      <name val="Helv"/>
    </font>
    <font>
      <b/>
      <sz val="9"/>
      <name val="Helv"/>
    </font>
    <font>
      <sz val="7"/>
      <color indexed="8"/>
      <name val="Tms Rmn"/>
    </font>
    <font>
      <u/>
      <sz val="10"/>
      <color indexed="12"/>
      <name val="Arial"/>
      <family val="2"/>
    </font>
    <font>
      <u/>
      <sz val="10"/>
      <color theme="10"/>
      <name val="Arial"/>
      <family val="2"/>
    </font>
    <font>
      <u/>
      <sz val="7"/>
      <color indexed="12"/>
      <name val="Arial"/>
      <family val="2"/>
    </font>
    <font>
      <sz val="11"/>
      <color indexed="62"/>
      <name val="Calibri"/>
      <family val="2"/>
    </font>
    <font>
      <sz val="8"/>
      <color indexed="39"/>
      <name val="Arial"/>
      <family val="2"/>
    </font>
    <font>
      <sz val="12"/>
      <color indexed="12"/>
      <name val="Times New Roman"/>
      <family val="1"/>
    </font>
    <font>
      <sz val="8"/>
      <color indexed="12"/>
      <name val="Helv"/>
    </font>
    <font>
      <b/>
      <sz val="10"/>
      <color indexed="9"/>
      <name val="Tms Rmn"/>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b/>
      <sz val="14"/>
      <name val="Helv"/>
    </font>
    <font>
      <i/>
      <sz val="16"/>
      <name val="Times New Roman"/>
      <family val="1"/>
    </font>
    <font>
      <b/>
      <sz val="10"/>
      <name val="Palatino"/>
      <family val="1"/>
    </font>
    <font>
      <sz val="11"/>
      <color indexed="52"/>
      <name val="Calibri"/>
      <family val="2"/>
    </font>
    <font>
      <sz val="11"/>
      <color indexed="36"/>
      <name val="Calibri"/>
      <family val="2"/>
    </font>
    <font>
      <sz val="12"/>
      <color indexed="9"/>
      <name val="Helv"/>
    </font>
    <font>
      <sz val="10"/>
      <name val="Futura Md BT"/>
    </font>
    <font>
      <b/>
      <sz val="36"/>
      <name val="Times New Roman"/>
      <family val="1"/>
    </font>
    <font>
      <b/>
      <sz val="11"/>
      <name val="Helv"/>
      <family val="2"/>
    </font>
    <font>
      <sz val="10"/>
      <name val="Courier New"/>
      <family val="3"/>
    </font>
    <font>
      <sz val="10"/>
      <name val="Goudy"/>
      <family val="1"/>
    </font>
    <font>
      <sz val="8"/>
      <color indexed="16"/>
      <name val="Times"/>
      <family val="1"/>
    </font>
    <font>
      <sz val="11"/>
      <color indexed="60"/>
      <name val="Calibri"/>
      <family val="2"/>
    </font>
    <font>
      <sz val="7"/>
      <name val="Small Fonts"/>
      <family val="2"/>
    </font>
    <font>
      <b/>
      <sz val="8"/>
      <color indexed="23"/>
      <name val="Verdana"/>
      <family val="2"/>
    </font>
    <font>
      <sz val="12"/>
      <color indexed="8"/>
      <name val="Verdana"/>
      <family val="2"/>
    </font>
    <font>
      <sz val="8"/>
      <color theme="1"/>
      <name val="Calibri"/>
      <family val="2"/>
      <scheme val="minor"/>
    </font>
    <font>
      <b/>
      <u/>
      <sz val="8"/>
      <name val="Times"/>
      <family val="1"/>
    </font>
    <font>
      <b/>
      <sz val="10"/>
      <name val="Helvetica"/>
      <family val="2"/>
    </font>
    <font>
      <u/>
      <sz val="10"/>
      <name val="Helvetica"/>
      <family val="2"/>
    </font>
    <font>
      <sz val="8"/>
      <name val="Book Antiqua"/>
      <family val="1"/>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u/>
      <sz val="10"/>
      <name val="Times New Roman"/>
      <family val="1"/>
    </font>
    <font>
      <sz val="12"/>
      <name val="Arial MT"/>
      <family val="2"/>
    </font>
    <font>
      <b/>
      <sz val="26"/>
      <name val="Times New Roman"/>
      <family val="1"/>
    </font>
    <font>
      <b/>
      <sz val="18"/>
      <name val="Times New Roman"/>
      <family val="1"/>
    </font>
    <font>
      <sz val="22"/>
      <name val="UBSHeadline"/>
      <family val="1"/>
    </font>
    <font>
      <b/>
      <u/>
      <sz val="10"/>
      <name val="Arial"/>
      <family val="2"/>
    </font>
    <font>
      <sz val="16"/>
      <color indexed="9"/>
      <name val="Tahoma"/>
      <family val="2"/>
    </font>
    <font>
      <b/>
      <sz val="14"/>
      <name val="Times New Roman"/>
      <family val="1"/>
    </font>
    <font>
      <u/>
      <sz val="10"/>
      <name val="GillSans"/>
      <family val="2"/>
    </font>
    <font>
      <sz val="10"/>
      <color indexed="10"/>
      <name val="Tms Rmn"/>
    </font>
    <font>
      <sz val="8"/>
      <color indexed="10"/>
      <name val="Arial"/>
      <family val="2"/>
    </font>
    <font>
      <sz val="10"/>
      <color indexed="10"/>
      <name val="Arial"/>
      <family val="2"/>
    </font>
    <font>
      <sz val="8"/>
      <name val="Wingdings"/>
      <charset val="2"/>
    </font>
    <font>
      <b/>
      <sz val="10"/>
      <color indexed="60"/>
      <name val="Arial"/>
      <family val="2"/>
    </font>
    <font>
      <sz val="10"/>
      <color indexed="39"/>
      <name val="Arial"/>
      <family val="2"/>
    </font>
    <font>
      <b/>
      <sz val="12"/>
      <color indexed="8"/>
      <name val="Arial"/>
      <family val="2"/>
    </font>
    <font>
      <b/>
      <sz val="16"/>
      <color indexed="8"/>
      <name val="Arial"/>
      <family val="2"/>
    </font>
    <font>
      <sz val="10"/>
      <name val="Tms Rmn"/>
    </font>
    <font>
      <sz val="10"/>
      <name val="Futura UBS Bk"/>
      <family val="2"/>
    </font>
    <font>
      <vertAlign val="superscript"/>
      <sz val="12"/>
      <name val="Helv"/>
    </font>
    <font>
      <sz val="8"/>
      <name val="MS Sans Serif"/>
      <family val="2"/>
    </font>
    <font>
      <sz val="8"/>
      <name val="MS Serif"/>
      <family val="1"/>
    </font>
    <font>
      <b/>
      <u/>
      <sz val="8"/>
      <name val="Arial"/>
      <family val="2"/>
    </font>
    <font>
      <i/>
      <sz val="8"/>
      <name val="Arial"/>
      <family val="2"/>
    </font>
    <font>
      <b/>
      <sz val="8"/>
      <color indexed="9"/>
      <name val="Arial"/>
      <family val="2"/>
    </font>
    <font>
      <b/>
      <sz val="8"/>
      <color indexed="8"/>
      <name val="Arial"/>
      <family val="2"/>
    </font>
    <font>
      <b/>
      <i/>
      <sz val="11"/>
      <color indexed="8"/>
      <name val="Arial"/>
      <family val="2"/>
    </font>
    <font>
      <b/>
      <sz val="14"/>
      <color indexed="8"/>
      <name val="Arial"/>
      <family val="2"/>
    </font>
    <font>
      <i/>
      <sz val="10"/>
      <color indexed="8"/>
      <name val="Arial"/>
      <family val="2"/>
    </font>
    <font>
      <b/>
      <u/>
      <sz val="10"/>
      <color indexed="8"/>
      <name val="Arial"/>
      <family val="2"/>
    </font>
    <font>
      <b/>
      <i/>
      <sz val="10"/>
      <color indexed="8"/>
      <name val="Arial"/>
      <family val="2"/>
    </font>
    <font>
      <b/>
      <sz val="10"/>
      <name val="GillSans"/>
      <family val="2"/>
    </font>
    <font>
      <i/>
      <sz val="12"/>
      <color indexed="12"/>
      <name val="Times New Roman"/>
      <family val="1"/>
    </font>
    <font>
      <b/>
      <sz val="8"/>
      <color indexed="8"/>
      <name val="Helv"/>
    </font>
    <font>
      <b/>
      <sz val="6"/>
      <name val="Arial"/>
      <family val="2"/>
    </font>
    <font>
      <vertAlign val="superscript"/>
      <sz val="10"/>
      <name val="Helv"/>
    </font>
    <font>
      <b/>
      <sz val="9"/>
      <name val="Arial"/>
      <family val="2"/>
    </font>
    <font>
      <sz val="9"/>
      <name val="Helv"/>
    </font>
    <font>
      <sz val="7"/>
      <name val="Times New Roman"/>
      <family val="1"/>
    </font>
    <font>
      <i/>
      <sz val="14"/>
      <name val="Times New Roman"/>
      <family val="1"/>
    </font>
    <font>
      <b/>
      <sz val="8"/>
      <name val="Times New Roman"/>
      <family val="1"/>
    </font>
    <font>
      <b/>
      <sz val="12"/>
      <name val="GillSans"/>
      <family val="2"/>
    </font>
    <font>
      <sz val="10"/>
      <name val="Frutiger 45 Light"/>
      <family val="2"/>
    </font>
    <font>
      <b/>
      <sz val="12"/>
      <name val="Book Antiqua"/>
      <family val="1"/>
    </font>
    <font>
      <sz val="7"/>
      <name val="Arial"/>
      <family val="2"/>
    </font>
    <font>
      <sz val="24"/>
      <color indexed="13"/>
      <name val="Helv"/>
    </font>
    <font>
      <b/>
      <sz val="8"/>
      <name val="Tms Rmn"/>
    </font>
    <font>
      <b/>
      <u/>
      <sz val="9"/>
      <name val="Arial"/>
      <family val="2"/>
    </font>
    <font>
      <b/>
      <sz val="18"/>
      <color indexed="56"/>
      <name val="Cambria"/>
      <family val="2"/>
    </font>
    <font>
      <b/>
      <sz val="18"/>
      <color indexed="62"/>
      <name val="Cambria"/>
      <family val="2"/>
    </font>
    <font>
      <b/>
      <sz val="12"/>
      <name val="Helv"/>
    </font>
    <font>
      <b/>
      <sz val="11"/>
      <color indexed="9"/>
      <name val="GillSans"/>
      <family val="2"/>
    </font>
    <font>
      <b/>
      <sz val="11"/>
      <name val="GillSans"/>
      <family val="2"/>
    </font>
    <font>
      <u/>
      <sz val="8"/>
      <name val="Times New Roman"/>
      <family val="1"/>
    </font>
    <font>
      <b/>
      <sz val="8"/>
      <name val="Helv"/>
    </font>
    <font>
      <u/>
      <sz val="11"/>
      <name val="GillSans"/>
      <family val="2"/>
    </font>
    <font>
      <b/>
      <sz val="11"/>
      <color indexed="8"/>
      <name val="Calibri"/>
      <family val="2"/>
    </font>
    <font>
      <b/>
      <sz val="7"/>
      <color indexed="12"/>
      <name val="Arial"/>
      <family val="2"/>
    </font>
    <font>
      <sz val="8"/>
      <color indexed="18"/>
      <name val="Times New Roman"/>
      <family val="1"/>
    </font>
    <font>
      <sz val="11"/>
      <color indexed="10"/>
      <name val="Calibri"/>
      <family val="2"/>
    </font>
    <font>
      <sz val="8"/>
      <color indexed="9"/>
      <name val="Arial"/>
      <family val="2"/>
    </font>
    <font>
      <b/>
      <sz val="14"/>
      <color indexed="53"/>
      <name val="Arial"/>
      <family val="2"/>
    </font>
    <font>
      <b/>
      <u/>
      <sz val="9"/>
      <color indexed="16"/>
      <name val="Times"/>
      <family val="1"/>
    </font>
    <font>
      <sz val="10"/>
      <color theme="1"/>
      <name val="Arial"/>
      <family val="2"/>
    </font>
    <font>
      <b/>
      <sz val="10"/>
      <color rgb="FF0000FF"/>
      <name val="Arial Narrow"/>
      <family val="2"/>
    </font>
    <font>
      <sz val="10"/>
      <color theme="1"/>
      <name val="Arial Narrow"/>
      <family val="2"/>
    </font>
    <font>
      <sz val="10"/>
      <color rgb="FF0000FF"/>
      <name val="Arial Narrow"/>
      <family val="2"/>
    </font>
    <font>
      <sz val="10"/>
      <color rgb="FFFF0000"/>
      <name val="Arial Narrow"/>
      <family val="2"/>
    </font>
    <font>
      <b/>
      <sz val="10"/>
      <color rgb="FF000000"/>
      <name val="Arial Narrow"/>
      <family val="2"/>
    </font>
    <font>
      <b/>
      <sz val="10"/>
      <color theme="0"/>
      <name val="Arial Narrow"/>
      <family val="2"/>
    </font>
    <font>
      <sz val="10"/>
      <color theme="0"/>
      <name val="Arial Narrow"/>
      <family val="2"/>
    </font>
    <font>
      <b/>
      <sz val="10"/>
      <color theme="1"/>
      <name val="Arial Narrow"/>
      <family val="2"/>
    </font>
    <font>
      <b/>
      <i/>
      <sz val="10"/>
      <color theme="1"/>
      <name val="Arial Narrow"/>
      <family val="2"/>
    </font>
    <font>
      <i/>
      <sz val="10"/>
      <color theme="1"/>
      <name val="Arial Narrow"/>
      <family val="2"/>
    </font>
    <font>
      <b/>
      <u/>
      <sz val="10"/>
      <color theme="1"/>
      <name val="Arial Narrow"/>
      <family val="2"/>
    </font>
    <font>
      <b/>
      <sz val="10"/>
      <color rgb="FFFF0000"/>
      <name val="Arial Narrow"/>
      <family val="2"/>
    </font>
    <font>
      <b/>
      <sz val="9"/>
      <color theme="1"/>
      <name val="Arial"/>
      <family val="2"/>
    </font>
    <font>
      <sz val="9"/>
      <color theme="1"/>
      <name val="Arial"/>
      <family val="2"/>
    </font>
    <font>
      <sz val="11"/>
      <color theme="1"/>
      <name val="Arial"/>
      <family val="2"/>
    </font>
    <font>
      <b/>
      <sz val="11"/>
      <color theme="0"/>
      <name val="Arial"/>
      <family val="2"/>
    </font>
    <font>
      <sz val="11"/>
      <color rgb="FF0000FF"/>
      <name val="Arial"/>
      <family val="2"/>
    </font>
    <font>
      <b/>
      <sz val="11"/>
      <color theme="1"/>
      <name val="Arial"/>
      <family val="2"/>
    </font>
    <font>
      <i/>
      <sz val="11"/>
      <color theme="1"/>
      <name val="Arial"/>
      <family val="2"/>
    </font>
    <font>
      <sz val="11"/>
      <color theme="1"/>
      <name val="Arial Narrow"/>
      <family val="2"/>
    </font>
    <font>
      <b/>
      <sz val="11"/>
      <color theme="0"/>
      <name val="Arial Narrow"/>
      <family val="2"/>
    </font>
    <font>
      <sz val="11"/>
      <color rgb="FF0000FF"/>
      <name val="Arial Narrow"/>
      <family val="2"/>
    </font>
    <font>
      <b/>
      <sz val="11"/>
      <color theme="1"/>
      <name val="Arial Narrow"/>
      <family val="2"/>
    </font>
    <font>
      <i/>
      <sz val="11"/>
      <color theme="1"/>
      <name val="Arial Narrow"/>
      <family val="2"/>
    </font>
    <font>
      <sz val="11"/>
      <name val="Arial Narrow"/>
      <family val="2"/>
    </font>
    <font>
      <i/>
      <sz val="11"/>
      <name val="Arial Narrow"/>
      <family val="2"/>
    </font>
    <font>
      <sz val="8"/>
      <color indexed="12"/>
      <name val="Arial Narrow"/>
      <family val="2"/>
    </font>
    <font>
      <b/>
      <sz val="11"/>
      <color rgb="FF0000FF"/>
      <name val="Arial"/>
      <family val="2"/>
    </font>
    <font>
      <sz val="9"/>
      <color indexed="81"/>
      <name val="Tahoma"/>
      <family val="2"/>
    </font>
    <font>
      <b/>
      <sz val="9"/>
      <color indexed="81"/>
      <name val="Tahoma"/>
      <family val="2"/>
    </font>
    <font>
      <sz val="9.5"/>
      <color theme="1"/>
      <name val="Arial"/>
      <family val="2"/>
    </font>
    <font>
      <sz val="11"/>
      <color theme="0"/>
      <name val="Arial Narrow"/>
      <family val="2"/>
    </font>
    <font>
      <b/>
      <sz val="10"/>
      <color theme="1"/>
      <name val="Arial"/>
      <family val="2"/>
    </font>
    <font>
      <b/>
      <sz val="10"/>
      <color rgb="FF0000FF"/>
      <name val="Arial"/>
      <family val="2"/>
    </font>
    <font>
      <b/>
      <sz val="11"/>
      <color rgb="FF0000FF"/>
      <name val="Arial Narrow"/>
      <family val="2"/>
    </font>
    <font>
      <b/>
      <sz val="9"/>
      <color theme="0"/>
      <name val="Arial Narrow"/>
      <family val="2"/>
    </font>
    <font>
      <i/>
      <sz val="11"/>
      <color rgb="FF0000FF"/>
      <name val="Arial Narrow"/>
      <family val="2"/>
    </font>
    <font>
      <b/>
      <i/>
      <sz val="11"/>
      <color theme="1"/>
      <name val="Arial Narrow"/>
      <family val="2"/>
    </font>
    <font>
      <b/>
      <i/>
      <sz val="10"/>
      <color rgb="FF000000"/>
      <name val="Arial Narrow"/>
      <family val="2"/>
    </font>
    <font>
      <b/>
      <sz val="10.5"/>
      <name val="Arial"/>
      <family val="2"/>
    </font>
    <font>
      <b/>
      <sz val="10.5"/>
      <color theme="1"/>
      <name val="Arial"/>
      <family val="2"/>
    </font>
    <font>
      <sz val="10.5"/>
      <color theme="1"/>
      <name val="Arial"/>
      <family val="2"/>
    </font>
    <font>
      <sz val="10.5"/>
      <name val="Arial"/>
      <family val="2"/>
    </font>
    <font>
      <b/>
      <sz val="12"/>
      <color theme="0"/>
      <name val="Arial"/>
      <family val="2"/>
    </font>
    <font>
      <b/>
      <i/>
      <sz val="11"/>
      <color theme="1"/>
      <name val="Arial"/>
      <family val="2"/>
    </font>
    <font>
      <sz val="11"/>
      <color rgb="FF00B050"/>
      <name val="Arial Narrow"/>
      <family val="2"/>
    </font>
    <font>
      <b/>
      <sz val="11"/>
      <color rgb="FF00B050"/>
      <name val="Arial Narrow"/>
      <family val="2"/>
    </font>
    <font>
      <b/>
      <sz val="11"/>
      <color rgb="FF00B050"/>
      <name val="Arial"/>
      <family val="2"/>
    </font>
    <font>
      <b/>
      <sz val="10"/>
      <color rgb="FF00B050"/>
      <name val="Arial Narrow"/>
      <family val="2"/>
    </font>
    <font>
      <b/>
      <sz val="11"/>
      <color rgb="FF0070C0"/>
      <name val="Arial Narrow"/>
      <family val="2"/>
    </font>
    <font>
      <b/>
      <sz val="9.5"/>
      <color rgb="FFFF0000"/>
      <name val="Arial"/>
      <family val="2"/>
    </font>
    <font>
      <b/>
      <sz val="10.5"/>
      <color rgb="FF000000"/>
      <name val="Arial"/>
      <family val="2"/>
    </font>
    <font>
      <i/>
      <sz val="10"/>
      <color rgb="FF0000FF"/>
      <name val="Arial Narrow"/>
      <family val="2"/>
    </font>
    <font>
      <sz val="11"/>
      <color rgb="FF006CBE"/>
      <name val="Consolas"/>
      <family val="3"/>
    </font>
    <font>
      <sz val="11"/>
      <color rgb="FF242424"/>
      <name val="Consolas"/>
      <family val="3"/>
    </font>
    <font>
      <sz val="11"/>
      <color rgb="FFBC2F32"/>
      <name val="Consolas"/>
      <family val="3"/>
    </font>
    <font>
      <sz val="11"/>
      <color rgb="FF000000"/>
      <name val="Arial"/>
      <family val="2"/>
    </font>
    <font>
      <sz val="10"/>
      <color rgb="FF000000"/>
      <name val="Arial Narrow"/>
      <family val="2"/>
    </font>
    <font>
      <i/>
      <sz val="10"/>
      <color rgb="FF000000"/>
      <name val="Arial Narrow"/>
      <family val="2"/>
    </font>
  </fonts>
  <fills count="1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mediumGray">
        <fgColor indexed="22"/>
      </patternFill>
    </fill>
    <fill>
      <patternFill patternType="solid">
        <fgColor indexed="40"/>
        <bgColor indexed="64"/>
      </patternFill>
    </fill>
    <fill>
      <patternFill patternType="solid">
        <fgColor indexed="41"/>
        <bgColor indexed="64"/>
      </patternFill>
    </fill>
    <fill>
      <patternFill patternType="solid">
        <fgColor indexed="13"/>
        <bgColor indexed="64"/>
      </patternFill>
    </fill>
    <fill>
      <patternFill patternType="solid">
        <fgColor indexed="43"/>
      </patternFill>
    </fill>
    <fill>
      <patternFill patternType="solid">
        <fgColor indexed="31"/>
      </patternFill>
    </fill>
    <fill>
      <patternFill patternType="solid">
        <fgColor indexed="33"/>
      </patternFill>
    </fill>
    <fill>
      <patternFill patternType="solid">
        <fgColor indexed="45"/>
      </patternFill>
    </fill>
    <fill>
      <patternFill patternType="solid">
        <fgColor indexed="25"/>
      </patternFill>
    </fill>
    <fill>
      <patternFill patternType="solid">
        <fgColor indexed="46"/>
      </patternFill>
    </fill>
    <fill>
      <patternFill patternType="solid">
        <fgColor indexed="9"/>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7"/>
      </patternFill>
    </fill>
    <fill>
      <patternFill patternType="solid">
        <fgColor indexed="62"/>
      </patternFill>
    </fill>
    <fill>
      <patternFill patternType="solid">
        <fgColor indexed="3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4"/>
        <bgColor indexed="64"/>
      </patternFill>
    </fill>
    <fill>
      <patternFill patternType="solid">
        <fgColor indexed="9"/>
        <bgColor indexed="64"/>
      </patternFill>
    </fill>
    <fill>
      <patternFill patternType="solid">
        <fgColor indexed="24"/>
        <bgColor indexed="64"/>
      </patternFill>
    </fill>
    <fill>
      <patternFill patternType="solid">
        <fgColor indexed="45"/>
        <bgColor indexed="64"/>
      </patternFill>
    </fill>
    <fill>
      <patternFill patternType="solid">
        <fgColor indexed="30"/>
        <bgColor indexed="64"/>
      </patternFill>
    </fill>
    <fill>
      <patternFill patternType="solid">
        <fgColor indexed="14"/>
        <bgColor indexed="64"/>
      </patternFill>
    </fill>
    <fill>
      <patternFill patternType="solid">
        <fgColor indexed="12"/>
        <bgColor indexed="64"/>
      </patternFill>
    </fill>
    <fill>
      <patternFill patternType="gray125">
        <fgColor indexed="15"/>
      </patternFill>
    </fill>
    <fill>
      <patternFill patternType="solid">
        <fgColor indexed="55"/>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16"/>
      </patternFill>
    </fill>
    <fill>
      <patternFill patternType="gray125">
        <fgColor indexed="11"/>
      </patternFill>
    </fill>
    <fill>
      <patternFill patternType="lightGray">
        <fgColor indexed="22"/>
      </patternFill>
    </fill>
    <fill>
      <patternFill patternType="solid">
        <fgColor indexed="22"/>
        <bgColor indexed="9"/>
      </patternFill>
    </fill>
    <fill>
      <patternFill patternType="solid">
        <fgColor indexed="15"/>
      </patternFill>
    </fill>
    <fill>
      <patternFill patternType="solid">
        <fgColor indexed="8"/>
        <bgColor indexed="64"/>
      </patternFill>
    </fill>
    <fill>
      <patternFill patternType="solid">
        <fgColor indexed="13"/>
      </patternFill>
    </fill>
    <fill>
      <patternFill patternType="solid">
        <fgColor indexed="12"/>
      </patternFill>
    </fill>
    <fill>
      <patternFill patternType="lightGray">
        <fgColor indexed="38"/>
        <bgColor indexed="23"/>
      </patternFill>
    </fill>
    <fill>
      <patternFill patternType="solid">
        <fgColor indexed="10"/>
        <bgColor indexed="64"/>
      </patternFill>
    </fill>
    <fill>
      <patternFill patternType="darkVertical"/>
    </fill>
    <fill>
      <patternFill patternType="solid">
        <fgColor indexed="56"/>
      </patternFill>
    </fill>
    <fill>
      <patternFill patternType="solid">
        <fgColor indexed="21"/>
      </patternFill>
    </fill>
    <fill>
      <patternFill patternType="solid">
        <fgColor indexed="43"/>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41"/>
      </patternFill>
    </fill>
    <fill>
      <patternFill patternType="solid">
        <fgColor indexed="41"/>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35"/>
        <bgColor indexed="64"/>
      </patternFill>
    </fill>
    <fill>
      <patternFill patternType="gray0625">
        <fgColor indexed="15"/>
      </patternFill>
    </fill>
    <fill>
      <patternFill patternType="solid">
        <fgColor indexed="58"/>
        <bgColor indexed="64"/>
      </patternFill>
    </fill>
    <fill>
      <patternFill patternType="solid">
        <fgColor indexed="22"/>
        <bgColor indexed="22"/>
      </patternFill>
    </fill>
    <fill>
      <patternFill patternType="solid">
        <fgColor indexed="42"/>
        <bgColor indexed="64"/>
      </patternFill>
    </fill>
    <fill>
      <patternFill patternType="solid">
        <fgColor indexed="62"/>
        <bgColor indexed="64"/>
      </patternFill>
    </fill>
    <fill>
      <patternFill patternType="solid">
        <fgColor indexed="63"/>
        <bgColor indexed="64"/>
      </patternFill>
    </fill>
    <fill>
      <patternFill patternType="solid">
        <fgColor indexed="16"/>
        <bgColor indexed="64"/>
      </patternFill>
    </fill>
    <fill>
      <patternFill patternType="solid">
        <fgColor indexed="22"/>
        <bgColor indexed="55"/>
      </patternFill>
    </fill>
    <fill>
      <patternFill patternType="mediumGray"/>
    </fill>
    <fill>
      <patternFill patternType="lightGray">
        <fgColor indexed="13"/>
      </patternFill>
    </fill>
    <fill>
      <patternFill patternType="gray125">
        <fgColor indexed="13"/>
      </patternFill>
    </fill>
    <fill>
      <patternFill patternType="solid">
        <fgColor rgb="FFA40C22"/>
        <bgColor indexed="64"/>
      </patternFill>
    </fill>
    <fill>
      <patternFill patternType="solid">
        <fgColor rgb="FFE6E6E6"/>
        <bgColor indexed="64"/>
      </patternFill>
    </fill>
    <fill>
      <patternFill patternType="solid">
        <fgColor rgb="FF585858"/>
        <bgColor indexed="64"/>
      </patternFill>
    </fill>
    <fill>
      <patternFill patternType="solid">
        <fgColor rgb="FFF20000"/>
        <bgColor indexed="64"/>
      </patternFill>
    </fill>
    <fill>
      <patternFill patternType="solid">
        <fgColor theme="7" tint="0.59999389629810485"/>
        <bgColor indexed="64"/>
      </patternFill>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rgb="FFDA9694"/>
        <bgColor indexed="64"/>
      </patternFill>
    </fill>
    <fill>
      <patternFill patternType="solid">
        <fgColor rgb="FFEDCCCB"/>
        <bgColor indexed="64"/>
      </patternFill>
    </fill>
    <fill>
      <patternFill patternType="solid">
        <fgColor rgb="FF002060"/>
        <bgColor indexed="64"/>
      </patternFill>
    </fill>
    <fill>
      <patternFill patternType="solid">
        <fgColor theme="2"/>
        <bgColor indexed="64"/>
      </patternFill>
    </fill>
    <fill>
      <patternFill patternType="solid">
        <fgColor theme="7" tint="0.79998168889431442"/>
        <bgColor indexed="64"/>
      </patternFill>
    </fill>
    <fill>
      <patternFill patternType="solid">
        <fgColor theme="6" tint="0.39997558519241921"/>
        <bgColor indexed="64"/>
      </patternFill>
    </fill>
  </fills>
  <borders count="1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double">
        <color indexed="64"/>
      </top>
      <bottom style="double">
        <color indexed="64"/>
      </bottom>
      <diagonal/>
    </border>
    <border>
      <left/>
      <right/>
      <top style="thin">
        <color indexed="32"/>
      </top>
      <bottom style="thin">
        <color indexed="32"/>
      </bottom>
      <diagonal/>
    </border>
    <border>
      <left/>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right>
      <top style="thin">
        <color theme="0"/>
      </top>
      <bottom/>
      <diagonal/>
    </border>
    <border>
      <left/>
      <right/>
      <top/>
      <bottom style="medium">
        <color rgb="FF000000"/>
      </bottom>
      <diagonal/>
    </border>
    <border>
      <left/>
      <right/>
      <top style="thin">
        <color indexed="64"/>
      </top>
      <bottom style="double">
        <color indexed="64"/>
      </bottom>
      <diagonal/>
    </border>
    <border>
      <left/>
      <right style="thin">
        <color indexed="64"/>
      </right>
      <top/>
      <bottom/>
      <diagonal/>
    </border>
    <border>
      <left style="thin">
        <color indexed="64"/>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double">
        <color indexed="64"/>
      </left>
      <right/>
      <top/>
      <bottom style="hair">
        <color indexed="64"/>
      </bottom>
      <diagonal/>
    </border>
    <border>
      <left/>
      <right style="thin">
        <color indexed="18"/>
      </right>
      <top/>
      <bottom/>
      <diagonal/>
    </border>
    <border>
      <left/>
      <right/>
      <top/>
      <bottom style="thin">
        <color indexed="9"/>
      </bottom>
      <diagonal/>
    </border>
    <border>
      <left/>
      <right/>
      <top/>
      <bottom style="hair">
        <color indexed="64"/>
      </bottom>
      <diagonal/>
    </border>
    <border>
      <left style="thin">
        <color indexed="55"/>
      </left>
      <right style="thin">
        <color indexed="55"/>
      </right>
      <top style="thin">
        <color indexed="55"/>
      </top>
      <bottom style="thin">
        <color indexed="55"/>
      </bottom>
      <diagonal/>
    </border>
    <border>
      <left/>
      <right/>
      <top/>
      <bottom style="thin">
        <color indexed="44"/>
      </bottom>
      <diagonal/>
    </border>
    <border>
      <left/>
      <right/>
      <top style="thin">
        <color indexed="8"/>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right/>
      <top/>
      <bottom style="dotted">
        <color auto="1"/>
      </bottom>
      <diagonal/>
    </border>
    <border>
      <left style="thin">
        <color indexed="9"/>
      </left>
      <right style="thin">
        <color indexed="9"/>
      </right>
      <top style="thin">
        <color indexed="9"/>
      </top>
      <bottom style="thin">
        <color indexed="9"/>
      </bottom>
      <diagonal/>
    </border>
    <border>
      <left/>
      <right/>
      <top style="thin">
        <color indexed="32"/>
      </top>
      <bottom style="thin">
        <color indexed="32"/>
      </bottom>
      <diagonal/>
    </border>
    <border>
      <left style="thin">
        <color indexed="9"/>
      </left>
      <right style="thin">
        <color indexed="9"/>
      </right>
      <top/>
      <bottom/>
      <diagonal/>
    </border>
    <border>
      <left style="thin">
        <color indexed="64"/>
      </left>
      <right style="thin">
        <color indexed="55"/>
      </right>
      <top/>
      <bottom/>
      <diagonal/>
    </border>
    <border>
      <left/>
      <right/>
      <top/>
      <bottom style="thick">
        <color indexed="62"/>
      </bottom>
      <diagonal/>
    </border>
    <border>
      <left/>
      <right/>
      <top/>
      <bottom style="thick">
        <color indexed="32"/>
      </bottom>
      <diagonal/>
    </border>
    <border>
      <left/>
      <right/>
      <top/>
      <bottom style="thick">
        <color indexed="22"/>
      </bottom>
      <diagonal/>
    </border>
    <border>
      <left/>
      <right/>
      <top/>
      <bottom style="thick">
        <color indexed="33"/>
      </bottom>
      <diagonal/>
    </border>
    <border>
      <left/>
      <right/>
      <top/>
      <bottom style="medium">
        <color indexed="30"/>
      </bottom>
      <diagonal/>
    </border>
    <border>
      <left/>
      <right/>
      <top/>
      <bottom style="medium">
        <color indexed="27"/>
      </bottom>
      <diagonal/>
    </border>
    <border>
      <left/>
      <right/>
      <top/>
      <bottom style="thin">
        <color indexed="8"/>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3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4"/>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right/>
      <top style="medium">
        <color indexed="23"/>
      </top>
      <bottom style="medium">
        <color indexed="23"/>
      </bottom>
      <diagonal/>
    </border>
    <border>
      <left style="thin">
        <color indexed="63"/>
      </left>
      <right style="thin">
        <color indexed="63"/>
      </right>
      <top style="thin">
        <color indexed="64"/>
      </top>
      <bottom style="thin">
        <color indexed="63"/>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22"/>
      </bottom>
      <diagonal/>
    </border>
    <border>
      <left/>
      <right/>
      <top/>
      <bottom style="hair">
        <color indexed="8"/>
      </bottom>
      <diagonal/>
    </border>
    <border>
      <left/>
      <right/>
      <top style="thick">
        <color indexed="64"/>
      </top>
      <bottom style="thin">
        <color indexed="64"/>
      </bottom>
      <diagonal/>
    </border>
    <border>
      <left/>
      <right style="thin">
        <color indexed="64"/>
      </right>
      <top style="thin">
        <color indexed="22"/>
      </top>
      <bottom style="thin">
        <color indexed="22"/>
      </bottom>
      <diagonal/>
    </border>
    <border>
      <left style="thin">
        <color indexed="8"/>
      </left>
      <right/>
      <top style="thin">
        <color indexed="8"/>
      </top>
      <bottom/>
      <diagonal/>
    </border>
    <border>
      <left/>
      <right/>
      <top style="thin">
        <color indexed="62"/>
      </top>
      <bottom style="double">
        <color indexed="62"/>
      </bottom>
      <diagonal/>
    </border>
    <border>
      <left/>
      <right/>
      <top style="thin">
        <color indexed="32"/>
      </top>
      <bottom style="double">
        <color indexed="32"/>
      </bottom>
      <diagonal/>
    </border>
    <border>
      <left style="thin">
        <color indexed="8"/>
      </left>
      <right style="thin">
        <color indexed="8"/>
      </right>
      <top style="double">
        <color indexed="8"/>
      </top>
      <bottom style="thin">
        <color indexed="8"/>
      </bottom>
      <diagonal/>
    </border>
    <border>
      <left style="thick">
        <color indexed="64"/>
      </left>
      <right style="thin">
        <color indexed="64"/>
      </right>
      <top/>
      <bottom/>
      <diagonal/>
    </border>
    <border>
      <left style="thin">
        <color theme="0"/>
      </left>
      <right/>
      <top style="thin">
        <color theme="0"/>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auto="1"/>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style="thin">
        <color theme="0"/>
      </left>
      <right style="thin">
        <color theme="0"/>
      </right>
      <top/>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diagonal/>
    </border>
    <border>
      <left style="thin">
        <color theme="0"/>
      </left>
      <right style="thin">
        <color theme="0"/>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thin">
        <color theme="0"/>
      </right>
      <top style="thin">
        <color theme="0"/>
      </top>
      <bottom style="thin">
        <color theme="0"/>
      </bottom>
      <diagonal/>
    </border>
    <border>
      <left/>
      <right/>
      <top/>
      <bottom style="thin">
        <color theme="0"/>
      </bottom>
      <diagonal/>
    </border>
    <border>
      <left/>
      <right style="thin">
        <color theme="0"/>
      </right>
      <top/>
      <bottom/>
      <diagonal/>
    </border>
    <border>
      <left style="thin">
        <color indexed="64"/>
      </left>
      <right style="thin">
        <color indexed="64"/>
      </right>
      <top style="thin">
        <color indexed="64"/>
      </top>
      <bottom style="thin">
        <color theme="0"/>
      </bottom>
      <diagonal/>
    </border>
    <border>
      <left/>
      <right/>
      <top style="thin">
        <color theme="0"/>
      </top>
      <bottom style="thin">
        <color indexed="64"/>
      </bottom>
      <diagonal/>
    </border>
    <border>
      <left style="thin">
        <color auto="1"/>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indexed="64"/>
      </right>
      <top/>
      <bottom style="thin">
        <color rgb="FF000000"/>
      </bottom>
      <diagonal/>
    </border>
    <border>
      <left/>
      <right/>
      <top/>
      <bottom style="thin">
        <color rgb="FF000000"/>
      </bottom>
      <diagonal/>
    </border>
    <border>
      <left style="thin">
        <color auto="1"/>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s>
  <cellStyleXfs count="16894">
    <xf numFmtId="0" fontId="0" fillId="0" borderId="0"/>
    <xf numFmtId="9" fontId="2" fillId="0" borderId="0" applyFont="0" applyFill="0" applyBorder="0" applyAlignment="0" applyProtection="0"/>
    <xf numFmtId="0" fontId="18"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165" fontId="21" fillId="0" borderId="0" applyFill="0" applyBorder="0" applyAlignment="0"/>
    <xf numFmtId="166" fontId="21" fillId="0" borderId="0" applyFill="0" applyBorder="0" applyAlignment="0"/>
    <xf numFmtId="167" fontId="21" fillId="0" borderId="0" applyFill="0" applyBorder="0" applyAlignment="0"/>
    <xf numFmtId="168" fontId="21" fillId="0" borderId="0" applyFill="0" applyBorder="0" applyAlignment="0"/>
    <xf numFmtId="169" fontId="21" fillId="0" borderId="0" applyFill="0" applyBorder="0" applyAlignment="0"/>
    <xf numFmtId="165" fontId="21" fillId="0" borderId="0" applyFill="0" applyBorder="0" applyAlignment="0"/>
    <xf numFmtId="170" fontId="21" fillId="0" borderId="0" applyFill="0" applyBorder="0" applyAlignment="0"/>
    <xf numFmtId="166" fontId="21" fillId="0" borderId="0" applyFill="0" applyBorder="0" applyAlignment="0"/>
    <xf numFmtId="0" fontId="11" fillId="6" borderId="4" applyNumberFormat="0" applyAlignment="0" applyProtection="0"/>
    <xf numFmtId="0" fontId="22" fillId="0" borderId="0" applyFill="0" applyBorder="0" applyProtection="0">
      <alignment horizontal="center"/>
      <protection locked="0"/>
    </xf>
    <xf numFmtId="0" fontId="13" fillId="7" borderId="7" applyNumberFormat="0" applyAlignment="0" applyProtection="0"/>
    <xf numFmtId="165" fontId="21"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166" fontId="2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4" fontId="25" fillId="0" borderId="0" applyFill="0" applyBorder="0" applyAlignment="0"/>
    <xf numFmtId="42" fontId="26" fillId="0" borderId="0"/>
    <xf numFmtId="171" fontId="26" fillId="0" borderId="0"/>
    <xf numFmtId="172" fontId="27" fillId="0" borderId="11">
      <alignment vertical="center"/>
    </xf>
    <xf numFmtId="42" fontId="28" fillId="0" borderId="0"/>
    <xf numFmtId="165" fontId="21" fillId="0" borderId="0" applyFill="0" applyBorder="0" applyAlignment="0"/>
    <xf numFmtId="166" fontId="21" fillId="0" borderId="0" applyFill="0" applyBorder="0" applyAlignment="0"/>
    <xf numFmtId="165" fontId="21" fillId="0" borderId="0" applyFill="0" applyBorder="0" applyAlignment="0"/>
    <xf numFmtId="170" fontId="21" fillId="0" borderId="0" applyFill="0" applyBorder="0" applyAlignment="0"/>
    <xf numFmtId="166" fontId="21" fillId="0" borderId="0" applyFill="0" applyBorder="0" applyAlignment="0"/>
    <xf numFmtId="173" fontId="23" fillId="0" borderId="0" applyFont="0" applyFill="0" applyBorder="0" applyAlignment="0" applyProtection="0"/>
    <xf numFmtId="173" fontId="23" fillId="0" borderId="0" applyFont="0" applyFill="0" applyBorder="0" applyAlignment="0" applyProtection="0"/>
    <xf numFmtId="0" fontId="15" fillId="0" borderId="0" applyNumberFormat="0" applyFill="0" applyBorder="0" applyAlignment="0" applyProtection="0"/>
    <xf numFmtId="49" fontId="29" fillId="0" borderId="0" applyNumberFormat="0" applyFill="0" applyBorder="0" applyProtection="0">
      <alignment horizontal="center" vertical="top"/>
    </xf>
    <xf numFmtId="174" fontId="30" fillId="0" borderId="0" applyBorder="0">
      <alignment horizontal="right" vertical="top"/>
    </xf>
    <xf numFmtId="175" fontId="29" fillId="0" borderId="0" applyBorder="0">
      <alignment horizontal="right" vertical="top"/>
    </xf>
    <xf numFmtId="175" fontId="30" fillId="0" borderId="0" applyBorder="0">
      <alignment horizontal="right" vertical="top"/>
    </xf>
    <xf numFmtId="176" fontId="29" fillId="0" borderId="0" applyFill="0" applyBorder="0">
      <alignment horizontal="right" vertical="top"/>
    </xf>
    <xf numFmtId="177" fontId="29" fillId="0" borderId="0" applyFill="0" applyBorder="0">
      <alignment horizontal="right" vertical="top"/>
    </xf>
    <xf numFmtId="178" fontId="29" fillId="0" borderId="0" applyFill="0" applyBorder="0">
      <alignment horizontal="right" vertical="top"/>
    </xf>
    <xf numFmtId="179" fontId="29" fillId="0" borderId="0" applyFill="0" applyBorder="0">
      <alignment horizontal="right" vertical="top"/>
    </xf>
    <xf numFmtId="0" fontId="31" fillId="0" borderId="0">
      <alignment horizontal="left"/>
    </xf>
    <xf numFmtId="0" fontId="31" fillId="0" borderId="12">
      <alignment horizontal="right" wrapText="1"/>
    </xf>
    <xf numFmtId="180" fontId="32" fillId="0" borderId="12">
      <alignment horizontal="left"/>
    </xf>
    <xf numFmtId="0" fontId="33" fillId="0" borderId="0">
      <alignment vertical="center"/>
    </xf>
    <xf numFmtId="181" fontId="33" fillId="0" borderId="0">
      <alignment horizontal="left" vertical="center"/>
    </xf>
    <xf numFmtId="182" fontId="34" fillId="0" borderId="0">
      <alignment vertical="center"/>
    </xf>
    <xf numFmtId="0" fontId="35" fillId="0" borderId="0">
      <alignment vertical="center"/>
    </xf>
    <xf numFmtId="180" fontId="32" fillId="0" borderId="12">
      <alignment horizontal="left"/>
    </xf>
    <xf numFmtId="180" fontId="36" fillId="0" borderId="0" applyFill="0" applyBorder="0">
      <alignment vertical="top"/>
    </xf>
    <xf numFmtId="180" fontId="37" fillId="0" borderId="0" applyFill="0" applyBorder="0" applyProtection="0">
      <alignment vertical="top"/>
    </xf>
    <xf numFmtId="180" fontId="38" fillId="0" borderId="0">
      <alignment vertical="top"/>
    </xf>
    <xf numFmtId="180" fontId="29" fillId="0" borderId="0">
      <alignment horizontal="center"/>
    </xf>
    <xf numFmtId="180" fontId="39" fillId="0" borderId="12">
      <alignment horizontal="center"/>
    </xf>
    <xf numFmtId="183" fontId="29" fillId="0" borderId="12" applyFill="0" applyBorder="0" applyProtection="0">
      <alignment horizontal="right" vertical="top"/>
    </xf>
    <xf numFmtId="181" fontId="40" fillId="0" borderId="0">
      <alignment horizontal="left" vertical="center"/>
    </xf>
    <xf numFmtId="180" fontId="40" fillId="0" borderId="0"/>
    <xf numFmtId="180" fontId="41" fillId="0" borderId="0"/>
    <xf numFmtId="180" fontId="42" fillId="0" borderId="0"/>
    <xf numFmtId="180" fontId="23" fillId="0" borderId="0"/>
    <xf numFmtId="180" fontId="43" fillId="0" borderId="0">
      <alignment horizontal="left" vertical="top"/>
    </xf>
    <xf numFmtId="0" fontId="29" fillId="0" borderId="0" applyFill="0" applyBorder="0">
      <alignment horizontal="left" vertical="top" wrapText="1"/>
    </xf>
    <xf numFmtId="0" fontId="44" fillId="0" borderId="0">
      <alignment horizontal="left" vertical="top" wrapText="1"/>
    </xf>
    <xf numFmtId="0" fontId="45" fillId="0" borderId="0">
      <alignment horizontal="left" vertical="top" wrapText="1"/>
    </xf>
    <xf numFmtId="0" fontId="30" fillId="0" borderId="0">
      <alignment horizontal="left" vertical="top" wrapText="1"/>
    </xf>
    <xf numFmtId="0" fontId="46" fillId="33" borderId="0" applyNumberFormat="0" applyBorder="0" applyAlignment="0" applyProtection="0"/>
    <xf numFmtId="38" fontId="47" fillId="34" borderId="0" applyNumberFormat="0" applyBorder="0" applyAlignment="0" applyProtection="0"/>
    <xf numFmtId="38" fontId="47" fillId="34" borderId="0" applyNumberFormat="0" applyBorder="0" applyAlignment="0" applyProtection="0"/>
    <xf numFmtId="0" fontId="48" fillId="0" borderId="13" applyNumberFormat="0" applyAlignment="0" applyProtection="0">
      <alignment horizontal="left" vertical="center"/>
    </xf>
    <xf numFmtId="0" fontId="48" fillId="0" borderId="14">
      <alignment horizontal="left" vertical="center"/>
    </xf>
    <xf numFmtId="14" fontId="49" fillId="35" borderId="10">
      <alignment horizontal="center" vertical="center" wrapText="1"/>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47" fillId="36" borderId="15" applyNumberFormat="0" applyBorder="0" applyAlignment="0" applyProtection="0"/>
    <xf numFmtId="10" fontId="47" fillId="36" borderId="15" applyNumberFormat="0" applyBorder="0" applyAlignment="0" applyProtection="0"/>
    <xf numFmtId="0" fontId="9" fillId="5" borderId="4" applyNumberFormat="0" applyAlignment="0" applyProtection="0"/>
    <xf numFmtId="165" fontId="21" fillId="0" borderId="0" applyFill="0" applyBorder="0" applyAlignment="0"/>
    <xf numFmtId="166" fontId="21" fillId="0" borderId="0" applyFill="0" applyBorder="0" applyAlignment="0"/>
    <xf numFmtId="165" fontId="21" fillId="0" borderId="0" applyFill="0" applyBorder="0" applyAlignment="0"/>
    <xf numFmtId="170" fontId="21" fillId="0" borderId="0" applyFill="0" applyBorder="0" applyAlignment="0"/>
    <xf numFmtId="166" fontId="21" fillId="0" borderId="0" applyFill="0" applyBorder="0" applyAlignment="0"/>
    <xf numFmtId="0" fontId="12" fillId="0" borderId="6" applyNumberFormat="0" applyFill="0" applyAlignment="0" applyProtection="0"/>
    <xf numFmtId="0" fontId="8" fillId="4" borderId="0" applyNumberFormat="0" applyBorder="0" applyAlignment="0" applyProtection="0"/>
    <xf numFmtId="184"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51" fillId="0" borderId="0" applyNumberFormat="0" applyFill="0" applyBorder="0" applyAlignment="0" applyProtection="0"/>
    <xf numFmtId="0" fontId="23" fillId="0" borderId="0"/>
    <xf numFmtId="0" fontId="2" fillId="0" borderId="0"/>
    <xf numFmtId="0" fontId="52" fillId="0" borderId="0" applyNumberFormat="0" applyFill="0" applyBorder="0" applyAlignment="0" applyProtection="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8" borderId="8" applyNumberFormat="0" applyFont="0" applyAlignment="0" applyProtection="0"/>
    <xf numFmtId="0" fontId="24" fillId="8" borderId="8" applyNumberFormat="0" applyFont="0" applyAlignment="0" applyProtection="0"/>
    <xf numFmtId="0" fontId="23" fillId="37" borderId="16" applyNumberFormat="0" applyFont="0" applyAlignment="0" applyProtection="0"/>
    <xf numFmtId="0" fontId="10" fillId="6" borderId="5" applyNumberFormat="0" applyAlignment="0" applyProtection="0"/>
    <xf numFmtId="185" fontId="23" fillId="0" borderId="0" applyFont="0" applyFill="0" applyBorder="0" applyAlignment="0" applyProtection="0"/>
    <xf numFmtId="169" fontId="21" fillId="0" borderId="0" applyFont="0" applyFill="0" applyBorder="0" applyAlignment="0" applyProtection="0"/>
    <xf numFmtId="186" fontId="21" fillId="0" borderId="0" applyFont="0" applyFill="0" applyBorder="0" applyAlignment="0" applyProtection="0"/>
    <xf numFmtId="10" fontId="23" fillId="0" borderId="0" applyFont="0" applyFill="0" applyBorder="0" applyAlignment="0" applyProtection="0"/>
    <xf numFmtId="10"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165" fontId="21" fillId="0" borderId="0" applyFill="0" applyBorder="0" applyAlignment="0"/>
    <xf numFmtId="166" fontId="21" fillId="0" borderId="0" applyFill="0" applyBorder="0" applyAlignment="0"/>
    <xf numFmtId="165" fontId="21" fillId="0" borderId="0" applyFill="0" applyBorder="0" applyAlignment="0"/>
    <xf numFmtId="170" fontId="21" fillId="0" borderId="0" applyFill="0" applyBorder="0" applyAlignment="0"/>
    <xf numFmtId="166" fontId="21" fillId="0" borderId="0" applyFill="0" applyBorder="0" applyAlignment="0"/>
    <xf numFmtId="0" fontId="27" fillId="0" borderId="0" applyNumberFormat="0" applyFont="0" applyFill="0" applyBorder="0" applyAlignment="0" applyProtection="0">
      <alignment horizontal="left"/>
    </xf>
    <xf numFmtId="15" fontId="27" fillId="0" borderId="0" applyFont="0" applyFill="0" applyBorder="0" applyAlignment="0" applyProtection="0"/>
    <xf numFmtId="4" fontId="27" fillId="0" borderId="0" applyFont="0" applyFill="0" applyBorder="0" applyAlignment="0" applyProtection="0"/>
    <xf numFmtId="0" fontId="53" fillId="0" borderId="10">
      <alignment horizontal="center"/>
    </xf>
    <xf numFmtId="3" fontId="27" fillId="0" borderId="0" applyFont="0" applyFill="0" applyBorder="0" applyAlignment="0" applyProtection="0"/>
    <xf numFmtId="0" fontId="27" fillId="38" borderId="0" applyNumberFormat="0" applyFont="0" applyBorder="0" applyAlignment="0" applyProtection="0"/>
    <xf numFmtId="0" fontId="49" fillId="39" borderId="17" applyNumberFormat="0" applyProtection="0">
      <alignment horizontal="left" vertical="center" indent="1"/>
    </xf>
    <xf numFmtId="187" fontId="25" fillId="40" borderId="17" applyProtection="0">
      <alignment horizontal="right" vertical="center"/>
    </xf>
    <xf numFmtId="183" fontId="54" fillId="0" borderId="0"/>
    <xf numFmtId="171" fontId="54" fillId="0" borderId="0"/>
    <xf numFmtId="0" fontId="23" fillId="0" borderId="0" applyNumberFormat="0"/>
    <xf numFmtId="0" fontId="23" fillId="0" borderId="0"/>
    <xf numFmtId="0" fontId="25" fillId="0" borderId="0" applyNumberFormat="0" applyBorder="0" applyAlignment="0"/>
    <xf numFmtId="0" fontId="55" fillId="0" borderId="0" applyNumberFormat="0" applyBorder="0" applyAlignment="0"/>
    <xf numFmtId="0" fontId="25" fillId="0" borderId="0" applyNumberFormat="0" applyBorder="0" applyAlignment="0"/>
    <xf numFmtId="0" fontId="56" fillId="0" borderId="0" applyNumberFormat="0"/>
    <xf numFmtId="0" fontId="23" fillId="0" borderId="0" applyNumberFormat="0"/>
    <xf numFmtId="49" fontId="25" fillId="0" borderId="0" applyFill="0" applyBorder="0" applyAlignment="0"/>
    <xf numFmtId="188" fontId="21" fillId="0" borderId="0" applyFill="0" applyBorder="0" applyAlignment="0"/>
    <xf numFmtId="189" fontId="21" fillId="0" borderId="0" applyFill="0" applyBorder="0" applyAlignment="0"/>
    <xf numFmtId="0" fontId="57" fillId="0" borderId="0" applyFill="0" applyBorder="0" applyProtection="0">
      <alignment horizontal="left" vertical="top"/>
    </xf>
    <xf numFmtId="0" fontId="19"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193" fontId="58" fillId="0" borderId="0"/>
    <xf numFmtId="9" fontId="18" fillId="0" borderId="0" applyFont="0" applyFill="0" applyBorder="0" applyAlignment="0" applyProtection="0"/>
    <xf numFmtId="0" fontId="60" fillId="0" borderId="0"/>
    <xf numFmtId="0" fontId="2" fillId="0" borderId="0"/>
    <xf numFmtId="43" fontId="23" fillId="0" borderId="0" applyFont="0" applyFill="0" applyBorder="0" applyAlignment="0" applyProtection="0"/>
    <xf numFmtId="9" fontId="23" fillId="0" borderId="0" applyFont="0" applyFill="0" applyBorder="0" applyAlignment="0" applyProtection="0"/>
    <xf numFmtId="44" fontId="2" fillId="0" borderId="0" applyFont="0" applyFill="0" applyBorder="0" applyAlignment="0" applyProtection="0"/>
    <xf numFmtId="0" fontId="23" fillId="0" borderId="0"/>
    <xf numFmtId="37" fontId="63" fillId="0" borderId="0">
      <alignment horizontal="fill"/>
    </xf>
    <xf numFmtId="0" fontId="47" fillId="0" borderId="0" applyNumberFormat="0" applyFill="0" applyBorder="0" applyAlignment="0" applyProtection="0"/>
    <xf numFmtId="0" fontId="28" fillId="0" borderId="0"/>
    <xf numFmtId="5" fontId="64" fillId="0" borderId="0" applyFont="0" applyFill="0" applyBorder="0" applyAlignment="0" applyProtection="0"/>
    <xf numFmtId="8" fontId="64" fillId="0" borderId="0" applyFont="0" applyFill="0" applyBorder="0" applyAlignment="0" applyProtection="0"/>
    <xf numFmtId="0" fontId="65" fillId="0" borderId="0"/>
    <xf numFmtId="0" fontId="65" fillId="0" borderId="0"/>
    <xf numFmtId="0" fontId="28" fillId="0" borderId="0">
      <alignment horizontal="right"/>
    </xf>
    <xf numFmtId="7" fontId="28" fillId="0" borderId="0">
      <alignment horizontal="right"/>
    </xf>
    <xf numFmtId="0" fontId="65" fillId="0" borderId="0">
      <alignment horizontal="right"/>
    </xf>
    <xf numFmtId="7" fontId="66" fillId="0" borderId="0">
      <alignment horizontal="right"/>
    </xf>
    <xf numFmtId="0" fontId="23" fillId="0" borderId="0"/>
    <xf numFmtId="0" fontId="23" fillId="0" borderId="0"/>
    <xf numFmtId="10" fontId="64" fillId="0" borderId="0" applyFont="0" applyFill="0" applyBorder="0" applyAlignment="0" applyProtection="0"/>
    <xf numFmtId="0" fontId="23" fillId="0" borderId="0"/>
    <xf numFmtId="0" fontId="23" fillId="0" borderId="0"/>
    <xf numFmtId="0" fontId="23" fillId="0" borderId="0" applyFont="0" applyFill="0" applyBorder="0" applyAlignment="0" applyProtection="0"/>
    <xf numFmtId="196" fontId="28" fillId="0" borderId="0" applyFont="0" applyFill="0" applyBorder="0" applyAlignment="0"/>
    <xf numFmtId="0" fontId="23" fillId="0" borderId="0" applyFont="0" applyFill="0" applyBorder="0" applyAlignment="0" applyProtection="0"/>
    <xf numFmtId="0" fontId="67" fillId="0" borderId="0"/>
    <xf numFmtId="0" fontId="23" fillId="0" borderId="0" applyFont="0" applyFill="0" applyBorder="0" applyAlignment="0" applyProtection="0"/>
    <xf numFmtId="0" fontId="23" fillId="0" borderId="0" applyFont="0" applyFill="0" applyBorder="0" applyAlignment="0" applyProtection="0"/>
    <xf numFmtId="0" fontId="68" fillId="0" borderId="0" applyFont="0" applyFill="0" applyBorder="0" applyAlignment="0" applyProtection="0"/>
    <xf numFmtId="0" fontId="23" fillId="0" borderId="0"/>
    <xf numFmtId="0" fontId="23" fillId="0" borderId="0"/>
    <xf numFmtId="0" fontId="23" fillId="0" borderId="0"/>
    <xf numFmtId="0" fontId="25" fillId="0" borderId="0">
      <alignment vertical="top"/>
    </xf>
    <xf numFmtId="0" fontId="23" fillId="0" borderId="0"/>
    <xf numFmtId="0" fontId="23" fillId="0" borderId="0"/>
    <xf numFmtId="0" fontId="23" fillId="0" borderId="0"/>
    <xf numFmtId="0" fontId="23" fillId="0" borderId="0"/>
    <xf numFmtId="0" fontId="68" fillId="0" borderId="0" applyFont="0" applyFill="0" applyBorder="0" applyAlignment="0" applyProtection="0"/>
    <xf numFmtId="0" fontId="23" fillId="0" borderId="0" applyFont="0" applyFill="0" applyBorder="0" applyAlignment="0" applyProtection="0"/>
    <xf numFmtId="0" fontId="68"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5" fillId="0" borderId="0">
      <alignment vertical="top"/>
    </xf>
    <xf numFmtId="0" fontId="68" fillId="0" borderId="0" applyFon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3" fillId="42" borderId="0" applyNumberFormat="0" applyFont="0" applyAlignment="0" applyProtection="0"/>
    <xf numFmtId="0" fontId="23" fillId="0" borderId="0"/>
    <xf numFmtId="0" fontId="23"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64"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xf numFmtId="0" fontId="23" fillId="0" borderId="0"/>
    <xf numFmtId="0" fontId="23" fillId="0" borderId="0" applyFont="0" applyFill="0" applyBorder="0" applyAlignment="0" applyProtection="0"/>
    <xf numFmtId="0" fontId="23" fillId="0" borderId="0" applyFont="0" applyFill="0" applyBorder="0" applyProtection="0">
      <alignment horizontal="right"/>
    </xf>
    <xf numFmtId="0" fontId="70" fillId="0" borderId="0"/>
    <xf numFmtId="0" fontId="71" fillId="0" borderId="0" applyNumberFormat="0" applyFill="0" applyBorder="0" applyAlignment="0" applyProtection="0"/>
    <xf numFmtId="0" fontId="71" fillId="0" borderId="0" applyNumberFormat="0" applyFill="0" applyBorder="0" applyAlignment="0" applyProtection="0"/>
    <xf numFmtId="0" fontId="68" fillId="0" borderId="0" applyFont="0" applyFill="0" applyBorder="0" applyAlignment="0" applyProtection="0"/>
    <xf numFmtId="0" fontId="68"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Protection="0">
      <alignment vertical="top"/>
    </xf>
    <xf numFmtId="0" fontId="72" fillId="0" borderId="0" applyNumberFormat="0" applyFill="0" applyBorder="0" applyProtection="0">
      <alignment vertical="top"/>
    </xf>
    <xf numFmtId="0" fontId="72" fillId="0" borderId="0" applyNumberFormat="0" applyFill="0" applyBorder="0" applyProtection="0">
      <alignment vertical="top"/>
    </xf>
    <xf numFmtId="197" fontId="28" fillId="0" borderId="0" applyFont="0" applyFill="0" applyBorder="0" applyAlignment="0" applyProtection="0">
      <protection locked="0"/>
    </xf>
    <xf numFmtId="0" fontId="73" fillId="0" borderId="33"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0" fontId="74" fillId="0" borderId="34" applyNumberFormat="0" applyFill="0" applyProtection="0">
      <alignment horizontal="center"/>
    </xf>
    <xf numFmtId="0" fontId="74" fillId="0" borderId="34" applyNumberFormat="0" applyFill="0" applyProtection="0">
      <alignment horizontal="center"/>
    </xf>
    <xf numFmtId="0" fontId="74" fillId="0" borderId="34" applyNumberFormat="0" applyFill="0" applyProtection="0">
      <alignment horizontal="center"/>
    </xf>
    <xf numFmtId="0" fontId="74" fillId="0" borderId="34" applyNumberFormat="0" applyFill="0" applyProtection="0">
      <alignment horizontal="center"/>
    </xf>
    <xf numFmtId="0" fontId="74" fillId="0" borderId="34" applyNumberFormat="0" applyFill="0" applyProtection="0">
      <alignment horizontal="center"/>
    </xf>
    <xf numFmtId="0" fontId="74" fillId="0" borderId="0" applyNumberFormat="0" applyFill="0" applyBorder="0" applyProtection="0">
      <alignment horizontal="left"/>
    </xf>
    <xf numFmtId="0" fontId="74" fillId="0" borderId="0" applyNumberFormat="0" applyFill="0" applyBorder="0" applyProtection="0">
      <alignment horizontal="left"/>
    </xf>
    <xf numFmtId="0" fontId="74" fillId="0" borderId="0" applyNumberFormat="0" applyFill="0" applyBorder="0" applyProtection="0">
      <alignment horizontal="left"/>
    </xf>
    <xf numFmtId="0" fontId="75" fillId="0" borderId="0" applyNumberFormat="0" applyFill="0" applyBorder="0" applyProtection="0">
      <alignment horizontal="centerContinuous"/>
    </xf>
    <xf numFmtId="0" fontId="75" fillId="0" borderId="0" applyNumberFormat="0" applyFill="0" applyBorder="0" applyProtection="0">
      <alignment horizontal="centerContinuous"/>
    </xf>
    <xf numFmtId="0" fontId="68" fillId="0" borderId="0" applyFont="0" applyFill="0" applyBorder="0" applyAlignment="0" applyProtection="0"/>
    <xf numFmtId="0" fontId="68" fillId="0" borderId="0" applyFont="0" applyFill="0" applyBorder="0" applyAlignment="0" applyProtection="0"/>
    <xf numFmtId="3" fontId="61" fillId="0" borderId="0"/>
    <xf numFmtId="0" fontId="68"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63" fillId="0" borderId="0" applyFont="0" applyFill="0" applyBorder="0" applyAlignment="0" applyProtection="0"/>
    <xf numFmtId="198" fontId="59"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63"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7" fillId="0" borderId="0" applyFont="0" applyFill="0" applyBorder="0" applyAlignment="0" applyProtection="0"/>
    <xf numFmtId="199" fontId="59" fillId="0" borderId="0" applyFont="0" applyFill="0" applyBorder="0" applyAlignment="0" applyProtection="0"/>
    <xf numFmtId="43" fontId="23" fillId="0" borderId="0" applyFont="0" applyFill="0" applyBorder="0" applyAlignment="0" applyProtection="0"/>
    <xf numFmtId="1" fontId="27" fillId="0" borderId="0"/>
    <xf numFmtId="0" fontId="78" fillId="0" borderId="0"/>
    <xf numFmtId="0" fontId="28" fillId="0" borderId="35" applyBorder="0"/>
    <xf numFmtId="1" fontId="27" fillId="0" borderId="0"/>
    <xf numFmtId="0" fontId="79" fillId="0" borderId="0">
      <alignment horizontal="center"/>
    </xf>
    <xf numFmtId="200" fontId="23" fillId="0" borderId="0">
      <alignment horizontal="left"/>
    </xf>
    <xf numFmtId="201" fontId="23" fillId="0" borderId="0">
      <alignment horizontal="left"/>
    </xf>
    <xf numFmtId="0" fontId="80" fillId="0" borderId="0"/>
    <xf numFmtId="0" fontId="80" fillId="0" borderId="0"/>
    <xf numFmtId="0" fontId="80" fillId="0" borderId="0"/>
    <xf numFmtId="0" fontId="80" fillId="0" borderId="0"/>
    <xf numFmtId="0" fontId="62" fillId="0" borderId="0" applyNumberFormat="0" applyFont="0" applyFill="0" applyBorder="0" applyAlignment="0"/>
    <xf numFmtId="0" fontId="21" fillId="0" borderId="23">
      <alignment horizontal="center"/>
    </xf>
    <xf numFmtId="9" fontId="68" fillId="0" borderId="0" applyFont="0" applyFill="0" applyBorder="0" applyAlignment="0" applyProtection="0"/>
    <xf numFmtId="0" fontId="81"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4" fillId="45" borderId="0" applyNumberFormat="0" applyBorder="0" applyAlignment="0" applyProtection="0"/>
    <xf numFmtId="0" fontId="24" fillId="43"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4" fillId="33" borderId="0" applyNumberFormat="0" applyBorder="0" applyAlignment="0" applyProtection="0"/>
    <xf numFmtId="0" fontId="24" fillId="46"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4" fillId="50" borderId="0" applyNumberFormat="0" applyBorder="0" applyAlignment="0" applyProtection="0"/>
    <xf numFmtId="192" fontId="23" fillId="0" borderId="0" applyFont="0" applyFill="0" applyBorder="0" applyAlignment="0" applyProtection="0"/>
    <xf numFmtId="0" fontId="8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4" fillId="51" borderId="0" applyNumberFormat="0" applyBorder="0" applyAlignment="0" applyProtection="0"/>
    <xf numFmtId="0" fontId="24" fillId="4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4" fillId="52" borderId="0" applyNumberFormat="0" applyBorder="0" applyAlignment="0" applyProtection="0"/>
    <xf numFmtId="0" fontId="24"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4" fillId="53" borderId="0" applyNumberFormat="0" applyBorder="0" applyAlignment="0" applyProtection="0"/>
    <xf numFmtId="0" fontId="24"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4" fillId="47" borderId="0" applyNumberFormat="0" applyBorder="0" applyAlignment="0" applyProtection="0"/>
    <xf numFmtId="0" fontId="24"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4" fillId="51" borderId="0" applyNumberFormat="0" applyBorder="0" applyAlignment="0" applyProtection="0"/>
    <xf numFmtId="0" fontId="24" fillId="4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4" fillId="54" borderId="0" applyNumberFormat="0" applyBorder="0" applyAlignment="0" applyProtection="0"/>
    <xf numFmtId="0" fontId="24" fillId="50" borderId="0" applyNumberFormat="0" applyBorder="0" applyAlignment="0" applyProtection="0"/>
    <xf numFmtId="0" fontId="17" fillId="12" borderId="0" applyNumberFormat="0" applyBorder="0" applyAlignment="0" applyProtection="0"/>
    <xf numFmtId="0" fontId="83" fillId="55" borderId="0" applyNumberFormat="0" applyBorder="0" applyAlignment="0" applyProtection="0"/>
    <xf numFmtId="0" fontId="83" fillId="49" borderId="0" applyNumberFormat="0" applyBorder="0" applyAlignment="0" applyProtection="0"/>
    <xf numFmtId="0" fontId="17" fillId="16" borderId="0" applyNumberFormat="0" applyBorder="0" applyAlignment="0" applyProtection="0"/>
    <xf numFmtId="0" fontId="83" fillId="52" borderId="0" applyNumberFormat="0" applyBorder="0" applyAlignment="0" applyProtection="0"/>
    <xf numFmtId="0" fontId="83" fillId="43" borderId="0" applyNumberFormat="0" applyBorder="0" applyAlignment="0" applyProtection="0"/>
    <xf numFmtId="0" fontId="17" fillId="20" borderId="0" applyNumberFormat="0" applyBorder="0" applyAlignment="0" applyProtection="0"/>
    <xf numFmtId="0" fontId="83" fillId="53" borderId="0" applyNumberFormat="0" applyBorder="0" applyAlignment="0" applyProtection="0"/>
    <xf numFmtId="0" fontId="83" fillId="46" borderId="0" applyNumberFormat="0" applyBorder="0" applyAlignment="0" applyProtection="0"/>
    <xf numFmtId="0" fontId="17" fillId="24" borderId="0" applyNumberFormat="0" applyBorder="0" applyAlignment="0" applyProtection="0"/>
    <xf numFmtId="0" fontId="83" fillId="56" borderId="0" applyNumberFormat="0" applyBorder="0" applyAlignment="0" applyProtection="0"/>
    <xf numFmtId="0" fontId="83" fillId="49" borderId="0" applyNumberFormat="0" applyBorder="0" applyAlignment="0" applyProtection="0"/>
    <xf numFmtId="0" fontId="17" fillId="28" borderId="0" applyNumberFormat="0" applyBorder="0" applyAlignment="0" applyProtection="0"/>
    <xf numFmtId="0" fontId="83" fillId="57" borderId="0" applyNumberFormat="0" applyBorder="0" applyAlignment="0" applyProtection="0"/>
    <xf numFmtId="0" fontId="83" fillId="44" borderId="0" applyNumberFormat="0" applyBorder="0" applyAlignment="0" applyProtection="0"/>
    <xf numFmtId="0" fontId="17" fillId="32" borderId="0" applyNumberFormat="0" applyBorder="0" applyAlignment="0" applyProtection="0"/>
    <xf numFmtId="0" fontId="83" fillId="58" borderId="0" applyNumberFormat="0" applyBorder="0" applyAlignment="0" applyProtection="0"/>
    <xf numFmtId="0" fontId="83" fillId="59" borderId="0" applyNumberFormat="0" applyBorder="0" applyAlignment="0" applyProtection="0"/>
    <xf numFmtId="0" fontId="76" fillId="0" borderId="0">
      <alignment vertical="center"/>
    </xf>
    <xf numFmtId="0" fontId="37" fillId="0" borderId="0">
      <alignment horizontal="center"/>
    </xf>
    <xf numFmtId="0" fontId="37" fillId="0" borderId="0">
      <alignment horizontal="center"/>
    </xf>
    <xf numFmtId="202" fontId="37" fillId="0" borderId="0">
      <alignment horizontal="center"/>
    </xf>
    <xf numFmtId="0" fontId="37" fillId="0" borderId="0">
      <alignment horizontal="center"/>
    </xf>
    <xf numFmtId="0" fontId="37" fillId="0" borderId="0">
      <alignment horizontal="center"/>
    </xf>
    <xf numFmtId="202" fontId="37" fillId="0" borderId="0">
      <alignment horizontal="center"/>
    </xf>
    <xf numFmtId="0" fontId="76" fillId="0" borderId="0">
      <alignment vertical="center"/>
    </xf>
    <xf numFmtId="202" fontId="76" fillId="0" borderId="0">
      <alignment vertical="center"/>
    </xf>
    <xf numFmtId="0" fontId="76" fillId="0" borderId="0">
      <alignment vertical="center"/>
    </xf>
    <xf numFmtId="0" fontId="76" fillId="0" borderId="0">
      <alignment vertical="center"/>
    </xf>
    <xf numFmtId="202" fontId="76" fillId="0" borderId="0">
      <alignment vertical="center"/>
    </xf>
    <xf numFmtId="0" fontId="84" fillId="9" borderId="36" applyNumberFormat="0" applyAlignment="0" applyProtection="0"/>
    <xf numFmtId="0" fontId="17" fillId="9" borderId="0" applyNumberFormat="0" applyBorder="0" applyAlignment="0" applyProtection="0"/>
    <xf numFmtId="0" fontId="17" fillId="9" borderId="0" applyNumberFormat="0" applyBorder="0" applyAlignment="0" applyProtection="0"/>
    <xf numFmtId="0" fontId="83" fillId="60" borderId="0" applyNumberFormat="0" applyBorder="0" applyAlignment="0" applyProtection="0"/>
    <xf numFmtId="0" fontId="83" fillId="61" borderId="0" applyNumberFormat="0" applyBorder="0" applyAlignment="0" applyProtection="0"/>
    <xf numFmtId="0" fontId="17" fillId="13" borderId="0" applyNumberFormat="0" applyBorder="0" applyAlignment="0" applyProtection="0"/>
    <xf numFmtId="0" fontId="83" fillId="62" borderId="0" applyNumberFormat="0" applyBorder="0" applyAlignment="0" applyProtection="0"/>
    <xf numFmtId="0" fontId="17" fillId="17" borderId="0" applyNumberFormat="0" applyBorder="0" applyAlignment="0" applyProtection="0"/>
    <xf numFmtId="0" fontId="83" fillId="63" borderId="0" applyNumberFormat="0" applyBorder="0" applyAlignment="0" applyProtection="0"/>
    <xf numFmtId="0" fontId="83" fillId="46" borderId="0" applyNumberFormat="0" applyBorder="0" applyAlignment="0" applyProtection="0"/>
    <xf numFmtId="0" fontId="17" fillId="21" borderId="0" applyNumberFormat="0" applyBorder="0" applyAlignment="0" applyProtection="0"/>
    <xf numFmtId="0" fontId="83" fillId="56" borderId="0" applyNumberFormat="0" applyBorder="0" applyAlignment="0" applyProtection="0"/>
    <xf numFmtId="0" fontId="83" fillId="64" borderId="0" applyNumberFormat="0" applyBorder="0" applyAlignment="0" applyProtection="0"/>
    <xf numFmtId="0" fontId="17" fillId="25" borderId="0" applyNumberFormat="0" applyBorder="0" applyAlignment="0" applyProtection="0"/>
    <xf numFmtId="0" fontId="83" fillId="57" borderId="0" applyNumberFormat="0" applyBorder="0" applyAlignment="0" applyProtection="0"/>
    <xf numFmtId="0" fontId="17" fillId="29" borderId="0" applyNumberFormat="0" applyBorder="0" applyAlignment="0" applyProtection="0"/>
    <xf numFmtId="0" fontId="83" fillId="65" borderId="0" applyNumberFormat="0" applyBorder="0" applyAlignment="0" applyProtection="0"/>
    <xf numFmtId="0" fontId="83" fillId="56" borderId="0" applyNumberFormat="0" applyBorder="0" applyAlignment="0" applyProtection="0"/>
    <xf numFmtId="42" fontId="85" fillId="0" borderId="0" applyFont="0"/>
    <xf numFmtId="42" fontId="85" fillId="0" borderId="30" applyFont="0"/>
    <xf numFmtId="41" fontId="85" fillId="0" borderId="0" applyFont="0"/>
    <xf numFmtId="41" fontId="47" fillId="0" borderId="0"/>
    <xf numFmtId="0" fontId="49" fillId="66" borderId="37">
      <alignment horizontal="center" vertical="center"/>
    </xf>
    <xf numFmtId="0" fontId="80" fillId="0" borderId="31"/>
    <xf numFmtId="0" fontId="23" fillId="0" borderId="23"/>
    <xf numFmtId="0" fontId="68" fillId="0" borderId="0" applyFont="0" applyFill="0" applyBorder="0" applyAlignment="0" applyProtection="0"/>
    <xf numFmtId="0" fontId="68" fillId="0" borderId="0" applyFont="0" applyFill="0" applyBorder="0" applyAlignment="0" applyProtection="0"/>
    <xf numFmtId="0" fontId="86" fillId="0" borderId="0"/>
    <xf numFmtId="0" fontId="80" fillId="0" borderId="27" applyBorder="0"/>
    <xf numFmtId="0" fontId="28" fillId="0" borderId="38" applyFont="0" applyFill="0" applyBorder="0" applyAlignment="0" applyProtection="0"/>
    <xf numFmtId="37" fontId="87" fillId="67" borderId="20" applyBorder="0" applyProtection="0">
      <alignment vertical="center"/>
    </xf>
    <xf numFmtId="0" fontId="28" fillId="0" borderId="0"/>
    <xf numFmtId="0" fontId="88" fillId="68" borderId="0">
      <alignment horizontal="right" wrapText="1"/>
    </xf>
    <xf numFmtId="0" fontId="88" fillId="68" borderId="39">
      <alignment horizontal="center" wrapText="1"/>
    </xf>
    <xf numFmtId="0" fontId="44" fillId="0" borderId="0" applyNumberFormat="0">
      <alignment horizontal="right" wrapText="1"/>
    </xf>
    <xf numFmtId="0" fontId="29" fillId="69" borderId="0" applyNumberFormat="0" applyBorder="0">
      <alignment horizontal="right"/>
    </xf>
    <xf numFmtId="0" fontId="29" fillId="70" borderId="40" applyNumberFormat="0" applyFill="0">
      <alignment horizontal="right"/>
    </xf>
    <xf numFmtId="0" fontId="44" fillId="0" borderId="23" applyNumberFormat="0">
      <alignment horizontal="center" wrapText="1"/>
    </xf>
    <xf numFmtId="0" fontId="29" fillId="71" borderId="0" applyNumberFormat="0" applyBorder="0">
      <alignment horizontal="right"/>
    </xf>
    <xf numFmtId="0" fontId="89" fillId="0" borderId="0">
      <alignment horizontal="center" wrapText="1"/>
      <protection locked="0"/>
    </xf>
    <xf numFmtId="0" fontId="23" fillId="0" borderId="0" applyNumberFormat="0" applyFill="0" applyBorder="0" applyAlignment="0" applyProtection="0"/>
    <xf numFmtId="37" fontId="90" fillId="0" borderId="0" applyNumberFormat="0" applyFill="0" applyBorder="0" applyAlignment="0" applyProtection="0"/>
    <xf numFmtId="0" fontId="40" fillId="0" borderId="0" applyNumberFormat="0" applyFill="0" applyBorder="0" applyAlignment="0" applyProtection="0"/>
    <xf numFmtId="0" fontId="33" fillId="0" borderId="0" applyNumberFormat="0" applyFill="0" applyBorder="0" applyAlignment="0" applyProtection="0"/>
    <xf numFmtId="37" fontId="91" fillId="0" borderId="0" applyNumberFormat="0" applyFill="0" applyBorder="0" applyAlignment="0" applyProtection="0"/>
    <xf numFmtId="203" fontId="92" fillId="36" borderId="41"/>
    <xf numFmtId="203" fontId="92" fillId="36" borderId="41"/>
    <xf numFmtId="43" fontId="92" fillId="36" borderId="41"/>
    <xf numFmtId="43" fontId="92" fillId="36" borderId="41"/>
    <xf numFmtId="204" fontId="92" fillId="36" borderId="41"/>
    <xf numFmtId="204" fontId="92" fillId="36" borderId="41"/>
    <xf numFmtId="0" fontId="68" fillId="0" borderId="0" applyFont="0" applyFill="0" applyBorder="0" applyAlignment="0" applyProtection="0"/>
    <xf numFmtId="0" fontId="68" fillId="0" borderId="0" applyFont="0" applyFill="0" applyBorder="0" applyAlignment="0" applyProtection="0"/>
    <xf numFmtId="0" fontId="80" fillId="0" borderId="0"/>
    <xf numFmtId="0" fontId="7" fillId="3" borderId="0" applyNumberFormat="0" applyBorder="0" applyAlignment="0" applyProtection="0"/>
    <xf numFmtId="0" fontId="7" fillId="3" borderId="0" applyNumberFormat="0" applyBorder="0" applyAlignment="0" applyProtection="0"/>
    <xf numFmtId="0" fontId="93" fillId="45" borderId="0" applyNumberFormat="0" applyBorder="0" applyAlignment="0" applyProtection="0"/>
    <xf numFmtId="3" fontId="23" fillId="0" borderId="0"/>
    <xf numFmtId="0" fontId="23" fillId="0" borderId="0"/>
    <xf numFmtId="0" fontId="94" fillId="0" borderId="0"/>
    <xf numFmtId="37" fontId="95" fillId="0" borderId="0"/>
    <xf numFmtId="0" fontId="76" fillId="0" borderId="0" applyNumberFormat="0" applyFill="0" applyBorder="0" applyAlignment="0" applyProtection="0"/>
    <xf numFmtId="0" fontId="96" fillId="0" borderId="0" applyFont="0" applyFill="0" applyBorder="0" applyAlignment="0" applyProtection="0">
      <alignment horizontal="right"/>
    </xf>
    <xf numFmtId="0" fontId="97" fillId="0" borderId="0" applyNumberFormat="0" applyFill="0" applyBorder="0" applyAlignment="0" applyProtection="0"/>
    <xf numFmtId="0" fontId="98" fillId="0" borderId="0"/>
    <xf numFmtId="205" fontId="99" fillId="72" borderId="25" applyFont="0" applyBorder="0">
      <alignment horizontal="centerContinuous"/>
    </xf>
    <xf numFmtId="0" fontId="97" fillId="0" borderId="0" applyNumberFormat="0" applyFill="0" applyBorder="0" applyAlignment="0" applyProtection="0"/>
    <xf numFmtId="0" fontId="28" fillId="73" borderId="0" applyNumberFormat="0" applyFont="0" applyBorder="0" applyAlignment="0" applyProtection="0"/>
    <xf numFmtId="0" fontId="23" fillId="0" borderId="0" applyBorder="0" applyProtection="0"/>
    <xf numFmtId="0" fontId="23" fillId="0" borderId="0"/>
    <xf numFmtId="0" fontId="100" fillId="0" borderId="0" applyNumberFormat="0" applyFill="0" applyBorder="0" applyAlignment="0" applyProtection="0"/>
    <xf numFmtId="0" fontId="101" fillId="74" borderId="0" applyBorder="0">
      <alignment horizontal="left" vertical="center" indent="1"/>
    </xf>
    <xf numFmtId="0" fontId="23" fillId="0" borderId="0"/>
    <xf numFmtId="0" fontId="64" fillId="0" borderId="0" applyNumberFormat="0" applyAlignment="0" applyProtection="0">
      <alignment horizontal="center"/>
    </xf>
    <xf numFmtId="37" fontId="102" fillId="0" borderId="0">
      <alignment horizontal="centerContinuous"/>
    </xf>
    <xf numFmtId="0" fontId="103" fillId="0" borderId="23" applyNumberFormat="0" applyFill="0" applyAlignment="0" applyProtection="0"/>
    <xf numFmtId="0" fontId="53" fillId="0" borderId="24" applyAlignment="0" applyProtection="0"/>
    <xf numFmtId="0" fontId="53" fillId="0" borderId="24" applyAlignment="0" applyProtection="0"/>
    <xf numFmtId="0" fontId="89" fillId="0" borderId="10" applyNumberFormat="0" applyFont="0" applyFill="0" applyAlignment="0" applyProtection="0"/>
    <xf numFmtId="0" fontId="89" fillId="0" borderId="42" applyNumberFormat="0" applyFont="0" applyFill="0" applyAlignment="0" applyProtection="0"/>
    <xf numFmtId="0" fontId="64" fillId="0" borderId="23" applyNumberFormat="0" applyFont="0" applyFill="0" applyAlignment="0" applyProtection="0"/>
    <xf numFmtId="0" fontId="64" fillId="0" borderId="32" applyNumberFormat="0" applyFont="0" applyFill="0" applyAlignment="0" applyProtection="0"/>
    <xf numFmtId="0" fontId="64" fillId="0" borderId="31" applyNumberFormat="0" applyFont="0" applyFill="0" applyAlignment="0" applyProtection="0"/>
    <xf numFmtId="0" fontId="64" fillId="0" borderId="24" applyNumberFormat="0" applyFont="0" applyFill="0" applyAlignment="0" applyProtection="0"/>
    <xf numFmtId="0" fontId="64" fillId="0" borderId="24" applyNumberFormat="0" applyFont="0" applyFill="0" applyAlignment="0" applyProtection="0"/>
    <xf numFmtId="0" fontId="53" fillId="0" borderId="24" applyAlignment="0" applyProtection="0"/>
    <xf numFmtId="206" fontId="59" fillId="0" borderId="10" applyNumberFormat="0" applyFill="0" applyAlignment="0" applyProtection="0">
      <alignment horizontal="center"/>
    </xf>
    <xf numFmtId="206" fontId="59" fillId="0" borderId="10" applyNumberFormat="0" applyFill="0" applyAlignment="0" applyProtection="0">
      <alignment horizontal="center"/>
    </xf>
    <xf numFmtId="0" fontId="23" fillId="0" borderId="43" applyFill="0" applyProtection="0">
      <alignment horizontal="right"/>
    </xf>
    <xf numFmtId="207" fontId="59" fillId="0" borderId="23" applyFill="0" applyAlignment="0" applyProtection="0">
      <alignment horizontal="center"/>
    </xf>
    <xf numFmtId="37" fontId="47" fillId="0" borderId="44">
      <alignment horizontal="center" vertical="center" wrapText="1"/>
    </xf>
    <xf numFmtId="0" fontId="104" fillId="0" borderId="0" applyFont="0" applyFill="0" applyBorder="0" applyAlignment="0" applyProtection="0"/>
    <xf numFmtId="0" fontId="105" fillId="0" borderId="0">
      <alignment horizontal="right"/>
    </xf>
    <xf numFmtId="0" fontId="23" fillId="0" borderId="0" applyFont="0" applyFill="0" applyBorder="0" applyProtection="0">
      <alignment horizontal="left"/>
    </xf>
    <xf numFmtId="0" fontId="23" fillId="0" borderId="0" applyFont="0" applyFill="0" applyBorder="0" applyProtection="0">
      <alignment horizontal="left"/>
    </xf>
    <xf numFmtId="0" fontId="63" fillId="0" borderId="0" applyFont="0" applyFill="0" applyBorder="0" applyProtection="0">
      <alignment horizontal="left"/>
    </xf>
    <xf numFmtId="208" fontId="27" fillId="0" borderId="0" applyFont="0" applyFill="0" applyBorder="0" applyAlignment="0" applyProtection="0"/>
    <xf numFmtId="0" fontId="23" fillId="0" borderId="0" applyNumberFormat="0" applyFill="0" applyBorder="0" applyAlignment="0" applyProtection="0"/>
    <xf numFmtId="0" fontId="106" fillId="0" borderId="0"/>
    <xf numFmtId="209" fontId="25" fillId="0" borderId="0" applyFill="0" applyBorder="0" applyAlignment="0"/>
    <xf numFmtId="0" fontId="11" fillId="6" borderId="4" applyNumberFormat="0" applyAlignment="0" applyProtection="0"/>
    <xf numFmtId="0" fontId="107" fillId="75" borderId="45" applyNumberFormat="0" applyAlignment="0" applyProtection="0"/>
    <xf numFmtId="0" fontId="107" fillId="75" borderId="45" applyNumberFormat="0" applyAlignment="0" applyProtection="0"/>
    <xf numFmtId="0" fontId="108" fillId="48" borderId="45" applyNumberFormat="0" applyAlignment="0" applyProtection="0"/>
    <xf numFmtId="0" fontId="80" fillId="0" borderId="0"/>
    <xf numFmtId="0" fontId="89" fillId="76" borderId="0" applyNumberFormat="0" applyFont="0" applyBorder="0" applyAlignment="0"/>
    <xf numFmtId="0" fontId="109" fillId="0" borderId="0"/>
    <xf numFmtId="0" fontId="28" fillId="0" borderId="0" applyNumberFormat="0" applyFont="0" applyFill="0">
      <alignment horizontal="center"/>
    </xf>
    <xf numFmtId="0" fontId="28" fillId="0" borderId="23" applyBorder="0">
      <alignment horizontal="centerContinuous"/>
    </xf>
    <xf numFmtId="210" fontId="110" fillId="0" borderId="0" applyFill="0" applyBorder="0" applyProtection="0">
      <alignment horizontal="right"/>
    </xf>
    <xf numFmtId="0" fontId="48" fillId="0" borderId="0">
      <alignment horizontal="center" wrapText="1"/>
    </xf>
    <xf numFmtId="0" fontId="13" fillId="7" borderId="7" applyNumberFormat="0" applyAlignment="0" applyProtection="0"/>
    <xf numFmtId="0" fontId="111" fillId="77" borderId="46" applyNumberFormat="0" applyAlignment="0" applyProtection="0"/>
    <xf numFmtId="0" fontId="111" fillId="55" borderId="46" applyNumberFormat="0" applyAlignment="0" applyProtection="0"/>
    <xf numFmtId="0" fontId="47" fillId="0" borderId="0" applyNumberFormat="0" applyFill="0" applyBorder="0" applyAlignment="0" applyProtection="0"/>
    <xf numFmtId="0" fontId="112" fillId="0" borderId="0" applyNumberFormat="0" applyFill="0" applyBorder="0" applyAlignment="0" applyProtection="0"/>
    <xf numFmtId="0" fontId="47" fillId="0" borderId="0" applyNumberFormat="0" applyFill="0" applyBorder="0" applyAlignment="0" applyProtection="0"/>
    <xf numFmtId="0" fontId="113" fillId="0" borderId="23" applyNumberFormat="0" applyFill="0" applyBorder="0" applyAlignment="0" applyProtection="0">
      <alignment horizontal="center"/>
    </xf>
    <xf numFmtId="0" fontId="114" fillId="0" borderId="23" applyNumberFormat="0" applyFill="0" applyProtection="0">
      <alignment horizontal="left" vertical="center"/>
    </xf>
    <xf numFmtId="0" fontId="23" fillId="0" borderId="0">
      <alignment horizontal="center" wrapText="1"/>
      <protection hidden="1"/>
    </xf>
    <xf numFmtId="0" fontId="44" fillId="0" borderId="23">
      <alignment horizontal="center" wrapText="1"/>
    </xf>
    <xf numFmtId="0" fontId="36" fillId="0" borderId="0" applyBorder="0">
      <alignment horizontal="centerContinuous" vertical="center"/>
    </xf>
    <xf numFmtId="0" fontId="115" fillId="0" borderId="35">
      <alignment horizontal="center"/>
    </xf>
    <xf numFmtId="37" fontId="49" fillId="0" borderId="44">
      <alignment horizontal="center" wrapText="1"/>
    </xf>
    <xf numFmtId="0" fontId="68" fillId="0" borderId="0" applyFont="0" applyFill="0" applyBorder="0" applyAlignment="0" applyProtection="0"/>
    <xf numFmtId="211" fontId="116" fillId="0" borderId="0"/>
    <xf numFmtId="211" fontId="116" fillId="0" borderId="0"/>
    <xf numFmtId="211" fontId="116" fillId="0" borderId="0"/>
    <xf numFmtId="211" fontId="116" fillId="0" borderId="0"/>
    <xf numFmtId="211" fontId="116" fillId="0" borderId="0"/>
    <xf numFmtId="211" fontId="116" fillId="0" borderId="0"/>
    <xf numFmtId="211" fontId="116" fillId="0" borderId="0"/>
    <xf numFmtId="211" fontId="116" fillId="0" borderId="0"/>
    <xf numFmtId="40" fontId="23" fillId="0" borderId="0"/>
    <xf numFmtId="0" fontId="28" fillId="0" borderId="0"/>
    <xf numFmtId="41" fontId="48" fillId="0" borderId="24"/>
    <xf numFmtId="41" fontId="48" fillId="0" borderId="24"/>
    <xf numFmtId="0" fontId="97" fillId="0" borderId="0" applyFont="0" applyFill="0" applyBorder="0" applyAlignment="0" applyProtection="0"/>
    <xf numFmtId="0" fontId="23" fillId="0" borderId="0"/>
    <xf numFmtId="0" fontId="23" fillId="0" borderId="24"/>
    <xf numFmtId="0" fontId="23" fillId="0" borderId="24"/>
    <xf numFmtId="212" fontId="23" fillId="0" borderId="0"/>
    <xf numFmtId="0" fontId="63" fillId="0" borderId="0" applyFont="0" applyFill="0" applyBorder="0" applyAlignment="0" applyProtection="0"/>
    <xf numFmtId="0" fontId="29" fillId="0" borderId="0" applyFont="0" applyFill="0" applyBorder="0" applyAlignment="0" applyProtection="0">
      <alignment horizontal="right"/>
    </xf>
    <xf numFmtId="0" fontId="29"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48" fillId="0" borderId="0" applyFont="0" applyFill="0" applyBorder="0" applyAlignment="0" applyProtection="0">
      <protection locked="0"/>
    </xf>
    <xf numFmtId="0" fontId="110" fillId="0" borderId="0" applyFont="0" applyFill="0" applyBorder="0" applyAlignment="0" applyProtection="0">
      <alignment horizontal="right"/>
    </xf>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5" fillId="0" borderId="0" applyFont="0" applyFill="0" applyBorder="0" applyAlignment="0" applyProtection="0"/>
    <xf numFmtId="0" fontId="117" fillId="0" borderId="0" applyFont="0" applyFill="0" applyBorder="0" applyAlignment="0" applyProtection="0"/>
    <xf numFmtId="0" fontId="23" fillId="0" borderId="0" applyFont="0" applyFill="0" applyBorder="0" applyAlignment="0" applyProtection="0">
      <alignment horizontal="right"/>
    </xf>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18" fillId="0" borderId="0" applyFont="0" applyFill="0" applyBorder="0" applyAlignment="0" applyProtection="0"/>
    <xf numFmtId="21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applyFont="0" applyFill="0" applyBorder="0" applyAlignment="0" applyProtection="0"/>
    <xf numFmtId="213" fontId="23" fillId="0" borderId="0" applyFont="0" applyFill="0" applyBorder="0" applyAlignment="0" applyProtection="0"/>
    <xf numFmtId="213" fontId="23" fillId="0" borderId="0" applyFont="0" applyFill="0" applyBorder="0" applyAlignment="0" applyProtection="0"/>
    <xf numFmtId="21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18" fillId="0" borderId="0" applyFont="0" applyFill="0" applyBorder="0" applyAlignment="0" applyProtection="0"/>
    <xf numFmtId="43" fontId="119"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120" fillId="0" borderId="0" applyFont="0" applyFill="0" applyBorder="0" applyAlignment="0" applyProtection="0"/>
    <xf numFmtId="43" fontId="121" fillId="0" borderId="0" applyFont="0" applyFill="0" applyBorder="0" applyAlignment="0" applyProtection="0"/>
    <xf numFmtId="43" fontId="12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14" fontId="1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19"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215" fontId="110" fillId="0" borderId="0" applyFill="0" applyBorder="0" applyProtection="0">
      <alignment horizontal="right"/>
    </xf>
    <xf numFmtId="37" fontId="89" fillId="0" borderId="0" applyFill="0" applyBorder="0" applyAlignment="0" applyProtection="0"/>
    <xf numFmtId="0" fontId="28" fillId="0" borderId="23" applyFont="0" applyFill="0" applyAlignment="0" applyProtection="0"/>
    <xf numFmtId="0" fontId="23" fillId="0" borderId="0"/>
    <xf numFmtId="0" fontId="117" fillId="0" borderId="0" applyFont="0" applyFill="0" applyBorder="0" applyAlignment="0" applyProtection="0"/>
    <xf numFmtId="3" fontId="25" fillId="0" borderId="0"/>
    <xf numFmtId="0" fontId="123" fillId="0" borderId="0"/>
    <xf numFmtId="0" fontId="124" fillId="0" borderId="0"/>
    <xf numFmtId="0" fontId="124" fillId="0" borderId="0"/>
    <xf numFmtId="3" fontId="23" fillId="0" borderId="0"/>
    <xf numFmtId="0" fontId="123" fillId="0" borderId="0"/>
    <xf numFmtId="0" fontId="124" fillId="0" borderId="0"/>
    <xf numFmtId="39" fontId="64" fillId="0" borderId="0" applyFont="0" applyFill="0" applyBorder="0" applyAlignment="0" applyProtection="0"/>
    <xf numFmtId="0" fontId="125" fillId="78" borderId="0">
      <alignment horizontal="center" vertical="center" wrapText="1"/>
    </xf>
    <xf numFmtId="0" fontId="126" fillId="0" borderId="0" applyFill="0" applyBorder="0" applyAlignment="0" applyProtection="0">
      <protection locked="0"/>
    </xf>
    <xf numFmtId="0" fontId="125" fillId="78" borderId="0">
      <alignment horizontal="center" vertical="center" wrapText="1"/>
    </xf>
    <xf numFmtId="166" fontId="36" fillId="0" borderId="0" applyFill="0" applyBorder="0">
      <alignment horizontal="left"/>
    </xf>
    <xf numFmtId="0" fontId="127" fillId="0" borderId="0" applyNumberFormat="0" applyAlignment="0">
      <alignment horizontal="left"/>
    </xf>
    <xf numFmtId="0" fontId="128" fillId="0" borderId="0" applyNumberFormat="0" applyAlignment="0"/>
    <xf numFmtId="0" fontId="28" fillId="0" borderId="0" applyFill="0" applyBorder="0">
      <alignment horizontal="right"/>
      <protection locked="0"/>
    </xf>
    <xf numFmtId="0" fontId="70" fillId="0" borderId="0"/>
    <xf numFmtId="0" fontId="124" fillId="0" borderId="0"/>
    <xf numFmtId="0" fontId="48" fillId="0" borderId="24"/>
    <xf numFmtId="0" fontId="48" fillId="0" borderId="24"/>
    <xf numFmtId="0" fontId="47" fillId="0" borderId="0" applyFont="0" applyFill="0" applyBorder="0" applyAlignment="0"/>
    <xf numFmtId="8" fontId="23" fillId="0" borderId="0" applyFont="0" applyFill="0" applyBorder="0" applyAlignment="0"/>
    <xf numFmtId="44" fontId="48" fillId="0" borderId="24"/>
    <xf numFmtId="44" fontId="48" fillId="0" borderId="24"/>
    <xf numFmtId="8" fontId="129" fillId="0" borderId="0" applyBorder="0"/>
    <xf numFmtId="0" fontId="63" fillId="0" borderId="0" applyFont="0" applyFill="0" applyBorder="0" applyAlignment="0" applyProtection="0"/>
    <xf numFmtId="0" fontId="29" fillId="0" borderId="0" applyFont="0" applyFill="0" applyBorder="0" applyAlignment="0" applyProtection="0">
      <alignment horizontal="right"/>
    </xf>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48" fillId="0" borderId="0" applyFont="0" applyFill="0" applyBorder="0" applyAlignment="0" applyProtection="0">
      <protection locked="0"/>
    </xf>
    <xf numFmtId="0" fontId="110" fillId="0" borderId="0" applyFont="0" applyFill="0" applyBorder="0" applyAlignment="0" applyProtection="0">
      <alignment horizontal="right"/>
    </xf>
    <xf numFmtId="44" fontId="11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5"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8"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5" fillId="0" borderId="0" applyFont="0" applyFill="0" applyBorder="0" applyAlignment="0" applyProtection="0"/>
    <xf numFmtId="0" fontId="117" fillId="0" borderId="0" applyFont="0" applyFill="0" applyBorder="0" applyAlignment="0" applyProtection="0"/>
    <xf numFmtId="216" fontId="23" fillId="0" borderId="0" applyFont="0" applyFill="0" applyBorder="0" applyAlignment="0" applyProtection="0">
      <alignment horizontal="right"/>
    </xf>
    <xf numFmtId="44" fontId="23" fillId="0" borderId="0" applyFont="0" applyFill="0" applyBorder="0" applyAlignment="0" applyProtection="0"/>
    <xf numFmtId="44" fontId="23" fillId="0" borderId="0" applyFont="0" applyFill="0" applyBorder="0" applyAlignment="0" applyProtection="0"/>
    <xf numFmtId="44" fontId="23" fillId="0" borderId="0"/>
    <xf numFmtId="44" fontId="117" fillId="0" borderId="0" applyFont="0" applyFill="0" applyBorder="0" applyAlignment="0" applyProtection="0"/>
    <xf numFmtId="44" fontId="23" fillId="0" borderId="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0" fontId="23" fillId="0" borderId="0" applyFont="0" applyFill="0" applyBorder="0" applyAlignment="0" applyProtection="0"/>
    <xf numFmtId="44" fontId="118"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18" fillId="0" borderId="0" applyFont="0" applyFill="0" applyBorder="0" applyAlignment="0" applyProtection="0"/>
    <xf numFmtId="44" fontId="1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20" fillId="0" borderId="0" applyFont="0" applyFill="0" applyBorder="0" applyAlignment="0" applyProtection="0"/>
    <xf numFmtId="44" fontId="1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217"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95" fillId="0" borderId="0" applyFill="0" applyBorder="0" applyAlignment="0">
      <protection locked="0"/>
    </xf>
    <xf numFmtId="0" fontId="63" fillId="0" borderId="30" applyFont="0" applyFill="0" applyAlignment="0" applyProtection="0"/>
    <xf numFmtId="0" fontId="23" fillId="0" borderId="0" applyFont="0" applyFill="0" applyBorder="0" applyAlignment="0" applyProtection="0"/>
    <xf numFmtId="42" fontId="23" fillId="0" borderId="0" applyFont="0" applyFill="0" applyBorder="0" applyAlignment="0" applyProtection="0"/>
    <xf numFmtId="42" fontId="23" fillId="0" borderId="0" applyFont="0" applyFill="0" applyBorder="0" applyAlignment="0" applyProtection="0"/>
    <xf numFmtId="218" fontId="23" fillId="0" borderId="0"/>
    <xf numFmtId="0" fontId="23" fillId="0" borderId="0"/>
    <xf numFmtId="0" fontId="97" fillId="0" borderId="0"/>
    <xf numFmtId="0" fontId="81" fillId="0" borderId="0" applyFill="0" applyBorder="0" applyProtection="0">
      <alignment horizontal="right"/>
    </xf>
    <xf numFmtId="7" fontId="63" fillId="0" borderId="0" applyFill="0" applyBorder="0" applyProtection="0"/>
    <xf numFmtId="0" fontId="130" fillId="0" borderId="0"/>
    <xf numFmtId="0" fontId="131" fillId="0" borderId="0"/>
    <xf numFmtId="0" fontId="132" fillId="34" borderId="31">
      <alignment horizontal="right"/>
    </xf>
    <xf numFmtId="0" fontId="133" fillId="34" borderId="31">
      <alignment horizontal="right"/>
    </xf>
    <xf numFmtId="0" fontId="133" fillId="34" borderId="31">
      <alignment horizontal="right"/>
    </xf>
    <xf numFmtId="0" fontId="132" fillId="34" borderId="31">
      <alignment horizontal="right"/>
    </xf>
    <xf numFmtId="0" fontId="132"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132" fillId="34" borderId="31">
      <alignment horizontal="right"/>
    </xf>
    <xf numFmtId="0" fontId="132" fillId="34" borderId="31">
      <alignment horizontal="right"/>
    </xf>
    <xf numFmtId="0" fontId="134" fillId="34" borderId="31">
      <alignment horizontal="right"/>
    </xf>
    <xf numFmtId="0" fontId="134"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132" fillId="34" borderId="31">
      <alignment horizontal="right"/>
    </xf>
    <xf numFmtId="0" fontId="135" fillId="0" borderId="0">
      <alignment horizontal="right"/>
    </xf>
    <xf numFmtId="219" fontId="28" fillId="0" borderId="23" applyBorder="0"/>
    <xf numFmtId="202" fontId="28" fillId="0" borderId="0" applyFont="0" applyFill="0" applyBorder="0" applyAlignment="0" applyProtection="0"/>
    <xf numFmtId="0" fontId="23" fillId="0" borderId="0" applyNumberFormat="0">
      <alignment horizontal="right"/>
    </xf>
    <xf numFmtId="0" fontId="130" fillId="0" borderId="47"/>
    <xf numFmtId="0" fontId="95" fillId="0" borderId="0" applyNumberFormat="0" applyFill="0" applyBorder="0" applyAlignment="0">
      <protection locked="0"/>
    </xf>
    <xf numFmtId="0" fontId="23" fillId="0" borderId="0" applyFont="0" applyFill="0" applyBorder="0" applyAlignment="0" applyProtection="0"/>
    <xf numFmtId="14" fontId="23" fillId="0" borderId="0" applyFill="0" applyBorder="0" applyAlignment="0" applyProtection="0"/>
    <xf numFmtId="17" fontId="23" fillId="0" borderId="0" applyFill="0" applyBorder="0" applyAlignment="0" applyProtection="0"/>
    <xf numFmtId="0" fontId="23" fillId="0" borderId="0" applyFont="0" applyFill="0" applyBorder="0" applyProtection="0"/>
    <xf numFmtId="15" fontId="115" fillId="0" borderId="0" applyFill="0" applyBorder="0" applyAlignment="0"/>
    <xf numFmtId="0" fontId="23" fillId="0" borderId="0" applyFont="0" applyFill="0" applyBorder="0" applyProtection="0"/>
    <xf numFmtId="0" fontId="23" fillId="0" borderId="0" applyFont="0" applyFill="0" applyBorder="0" applyAlignment="0" applyProtection="0"/>
    <xf numFmtId="0" fontId="115" fillId="36" borderId="0" applyFont="0" applyFill="0" applyBorder="0" applyAlignment="0" applyProtection="0"/>
    <xf numFmtId="0" fontId="64" fillId="36" borderId="48" applyFont="0" applyFill="0" applyBorder="0" applyAlignment="0" applyProtection="0"/>
    <xf numFmtId="17" fontId="115" fillId="0" borderId="0" applyFill="0" applyBorder="0">
      <alignment horizontal="right"/>
    </xf>
    <xf numFmtId="0" fontId="6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ont="0" applyFill="0" applyBorder="0" applyAlignment="0" applyProtection="0"/>
    <xf numFmtId="14" fontId="47" fillId="0" borderId="0" applyFont="0" applyFill="0" applyBorder="0" applyAlignment="0" applyProtection="0"/>
    <xf numFmtId="0" fontId="89" fillId="0" borderId="0" applyFont="0" applyFill="0" applyBorder="0" applyProtection="0">
      <alignment horizontal="right"/>
    </xf>
    <xf numFmtId="14" fontId="136" fillId="0" borderId="0">
      <alignment horizontal="right"/>
      <protection locked="0"/>
    </xf>
    <xf numFmtId="0" fontId="28"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137" fillId="0" borderId="0">
      <protection locked="0"/>
    </xf>
    <xf numFmtId="0" fontId="25" fillId="0" borderId="0">
      <alignment vertical="top"/>
    </xf>
    <xf numFmtId="0" fontId="28" fillId="0" borderId="0" applyFill="0" applyBorder="0" applyProtection="0">
      <alignment horizontal="right"/>
    </xf>
    <xf numFmtId="15" fontId="138" fillId="0" borderId="0" applyFill="0" applyBorder="0" applyAlignment="0" applyProtection="0"/>
    <xf numFmtId="15" fontId="63" fillId="0" borderId="0" applyFont="0" applyFill="0" applyBorder="0" applyAlignment="0" applyProtection="0"/>
    <xf numFmtId="15" fontId="138" fillId="0" borderId="0" applyFill="0" applyBorder="0" applyAlignment="0" applyProtection="0"/>
    <xf numFmtId="0" fontId="23" fillId="0" borderId="0" applyBorder="0" applyProtection="0"/>
    <xf numFmtId="0" fontId="23" fillId="0" borderId="0"/>
    <xf numFmtId="0" fontId="23" fillId="0" borderId="0" applyBorder="0" applyProtection="0"/>
    <xf numFmtId="0" fontId="89" fillId="0" borderId="0"/>
    <xf numFmtId="0" fontId="97" fillId="0" borderId="0">
      <protection locked="0"/>
    </xf>
    <xf numFmtId="7" fontId="89" fillId="0" borderId="0"/>
    <xf numFmtId="0" fontId="77" fillId="0" borderId="0" applyFont="0" applyFill="0" applyBorder="0" applyAlignment="0" applyProtection="0"/>
    <xf numFmtId="4" fontId="78" fillId="0" borderId="0" applyFont="0" applyFill="0" applyBorder="0" applyAlignment="0" applyProtection="0"/>
    <xf numFmtId="0" fontId="28" fillId="0" borderId="0" applyFont="0" applyFill="0" applyAlignment="0" applyProtection="0"/>
    <xf numFmtId="0" fontId="29" fillId="0" borderId="49" applyNumberFormat="0" applyFont="0" applyFill="0" applyAlignment="0" applyProtection="0"/>
    <xf numFmtId="0" fontId="139" fillId="0" borderId="0" applyFill="0" applyBorder="0" applyAlignment="0" applyProtection="0"/>
    <xf numFmtId="0" fontId="140" fillId="0" borderId="0">
      <protection locked="0"/>
    </xf>
    <xf numFmtId="0" fontId="140" fillId="0" borderId="0">
      <protection locked="0"/>
    </xf>
    <xf numFmtId="0" fontId="141" fillId="0" borderId="0" applyNumberFormat="0" applyAlignment="0">
      <alignment horizontal="left"/>
    </xf>
    <xf numFmtId="213" fontId="27"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220"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220"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0" fontId="28" fillId="0" borderId="18"/>
    <xf numFmtId="0" fontId="15" fillId="0" borderId="0" applyNumberFormat="0" applyFill="0" applyBorder="0" applyAlignment="0" applyProtection="0"/>
    <xf numFmtId="0" fontId="142" fillId="0" borderId="0" applyNumberFormat="0" applyFill="0" applyBorder="0" applyAlignment="0" applyProtection="0"/>
    <xf numFmtId="14" fontId="23" fillId="79" borderId="50" applyFont="0" applyAlignment="0"/>
    <xf numFmtId="0" fontId="31" fillId="0" borderId="51">
      <alignment horizontal="right" wrapText="1"/>
    </xf>
    <xf numFmtId="180" fontId="32" fillId="0" borderId="51">
      <alignment horizontal="left"/>
    </xf>
    <xf numFmtId="180" fontId="32" fillId="0" borderId="51">
      <alignment horizontal="left"/>
    </xf>
    <xf numFmtId="180" fontId="39" fillId="0" borderId="51">
      <alignment horizontal="center"/>
    </xf>
    <xf numFmtId="183" fontId="29" fillId="0" borderId="51" applyFill="0" applyBorder="0" applyProtection="0">
      <alignment horizontal="right" vertical="top"/>
    </xf>
    <xf numFmtId="180" fontId="23" fillId="0" borderId="0"/>
    <xf numFmtId="180" fontId="23" fillId="0" borderId="0"/>
    <xf numFmtId="180" fontId="23" fillId="0" borderId="0"/>
    <xf numFmtId="0" fontId="137" fillId="0" borderId="0">
      <protection locked="0"/>
    </xf>
    <xf numFmtId="0" fontId="137" fillId="0" borderId="0">
      <protection locked="0"/>
    </xf>
    <xf numFmtId="0" fontId="143" fillId="0" borderId="0">
      <protection locked="0"/>
    </xf>
    <xf numFmtId="0" fontId="137" fillId="0" borderId="0">
      <protection locked="0"/>
    </xf>
    <xf numFmtId="0" fontId="137" fillId="0" borderId="0">
      <protection locked="0"/>
    </xf>
    <xf numFmtId="0" fontId="137" fillId="0" borderId="0">
      <protection locked="0"/>
    </xf>
    <xf numFmtId="0" fontId="143" fillId="0" borderId="0">
      <protection locked="0"/>
    </xf>
    <xf numFmtId="0" fontId="137" fillId="0" borderId="0">
      <protection locked="0"/>
    </xf>
    <xf numFmtId="6" fontId="61" fillId="0" borderId="0"/>
    <xf numFmtId="0" fontId="137" fillId="0" borderId="0">
      <protection locked="0"/>
    </xf>
    <xf numFmtId="2" fontId="23" fillId="0" borderId="0" applyFont="0" applyFill="0" applyBorder="0" applyAlignment="0" applyProtection="0"/>
    <xf numFmtId="0" fontId="47" fillId="0" borderId="0" applyFont="0" applyFill="0" applyBorder="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0" fontId="23" fillId="0" borderId="0">
      <protection locked="0"/>
    </xf>
    <xf numFmtId="0" fontId="63" fillId="0" borderId="0" applyFill="0" applyBorder="0" applyProtection="0"/>
    <xf numFmtId="0" fontId="144" fillId="0" borderId="0"/>
    <xf numFmtId="0" fontId="145" fillId="0" borderId="0" applyNumberFormat="0" applyFill="0" applyBorder="0" applyProtection="0">
      <alignment horizontal="left" vertical="center"/>
    </xf>
    <xf numFmtId="0" fontId="146" fillId="0" borderId="0" applyNumberFormat="0" applyFill="0" applyBorder="0" applyAlignment="0" applyProtection="0"/>
    <xf numFmtId="0" fontId="23" fillId="0" borderId="0" applyNumberFormat="0" applyFill="0" applyBorder="0" applyAlignment="0" applyProtection="0"/>
    <xf numFmtId="37" fontId="147" fillId="0" borderId="0" applyBorder="0">
      <alignment horizontal="right" vertical="center"/>
    </xf>
    <xf numFmtId="37" fontId="148" fillId="0" borderId="0" applyBorder="0">
      <alignment horizontal="right" vertical="center"/>
    </xf>
    <xf numFmtId="221" fontId="58" fillId="0" borderId="0"/>
    <xf numFmtId="221" fontId="58" fillId="0" borderId="0"/>
    <xf numFmtId="193" fontId="58" fillId="0" borderId="0"/>
    <xf numFmtId="222" fontId="58" fillId="0" borderId="0"/>
    <xf numFmtId="223" fontId="58" fillId="0" borderId="0"/>
    <xf numFmtId="0" fontId="28" fillId="66" borderId="31" applyNumberFormat="0" applyFill="0" applyBorder="0" applyAlignment="0">
      <alignment horizontal="center" vertical="center"/>
    </xf>
    <xf numFmtId="0" fontId="65" fillId="0" borderId="52"/>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29" fillId="34" borderId="31">
      <alignment horizontal="right"/>
    </xf>
    <xf numFmtId="0" fontId="134" fillId="34" borderId="31">
      <alignment horizontal="right"/>
    </xf>
    <xf numFmtId="0" fontId="134" fillId="34" borderId="31">
      <alignment horizontal="right"/>
    </xf>
    <xf numFmtId="0" fontId="29" fillId="34" borderId="31">
      <alignment horizontal="right"/>
    </xf>
    <xf numFmtId="0" fontId="134" fillId="34" borderId="31">
      <alignment horizontal="right"/>
    </xf>
    <xf numFmtId="0" fontId="134" fillId="34" borderId="31">
      <alignment horizontal="right"/>
    </xf>
    <xf numFmtId="0" fontId="134" fillId="34" borderId="31">
      <alignment horizontal="right"/>
    </xf>
    <xf numFmtId="0" fontId="134" fillId="34" borderId="31">
      <alignment horizontal="right"/>
    </xf>
    <xf numFmtId="0" fontId="134" fillId="34" borderId="31">
      <alignment horizontal="right"/>
    </xf>
    <xf numFmtId="0" fontId="134" fillId="34" borderId="31">
      <alignment horizontal="right"/>
    </xf>
    <xf numFmtId="0" fontId="29" fillId="34" borderId="31">
      <alignment horizontal="right"/>
    </xf>
    <xf numFmtId="0" fontId="134" fillId="34" borderId="31">
      <alignment horizontal="right"/>
    </xf>
    <xf numFmtId="0" fontId="134" fillId="34" borderId="31">
      <alignment horizontal="right"/>
    </xf>
    <xf numFmtId="0" fontId="65" fillId="34" borderId="31">
      <alignment horizontal="right"/>
    </xf>
    <xf numFmtId="0" fontId="23" fillId="0" borderId="0" applyFont="0" applyFill="0" applyBorder="0" applyProtection="0">
      <alignment horizontal="center" wrapText="1"/>
    </xf>
    <xf numFmtId="0" fontId="23" fillId="0" borderId="0" applyFont="0" applyFill="0" applyBorder="0" applyProtection="0">
      <alignment horizontal="right"/>
    </xf>
    <xf numFmtId="0" fontId="6" fillId="2" borderId="0" applyNumberFormat="0" applyBorder="0" applyAlignment="0" applyProtection="0"/>
    <xf numFmtId="0" fontId="46" fillId="33" borderId="0" applyNumberFormat="0" applyBorder="0" applyAlignment="0" applyProtection="0"/>
    <xf numFmtId="0" fontId="46" fillId="46" borderId="0" applyNumberFormat="0" applyBorder="0" applyAlignment="0" applyProtection="0"/>
    <xf numFmtId="0" fontId="28" fillId="80" borderId="0" applyNumberFormat="0" applyFont="0" applyBorder="0" applyAlignment="0" applyProtection="0"/>
    <xf numFmtId="0" fontId="28" fillId="81" borderId="0" applyNumberFormat="0" applyFont="0" applyBorder="0" applyAlignment="0" applyProtection="0"/>
    <xf numFmtId="38" fontId="47" fillId="34" borderId="0" applyNumberFormat="0" applyBorder="0" applyAlignment="0" applyProtection="0"/>
    <xf numFmtId="0" fontId="23" fillId="0" borderId="0" applyFont="0" applyFill="0" applyBorder="0" applyAlignment="0" applyProtection="0">
      <alignment horizontal="right"/>
    </xf>
    <xf numFmtId="0" fontId="149" fillId="0" borderId="0">
      <alignment horizontal="left"/>
    </xf>
    <xf numFmtId="37" fontId="150" fillId="34" borderId="13" applyFill="0">
      <alignment vertical="center"/>
    </xf>
    <xf numFmtId="0" fontId="151" fillId="0" borderId="0"/>
    <xf numFmtId="0" fontId="150" fillId="0" borderId="10" applyNumberFormat="0" applyFill="0">
      <alignment horizontal="centerContinuous" vertical="top"/>
    </xf>
    <xf numFmtId="0" fontId="152" fillId="67" borderId="53" applyNumberFormat="0" applyBorder="0">
      <alignment horizontal="left" vertical="center" indent="1"/>
    </xf>
    <xf numFmtId="0" fontId="153" fillId="0" borderId="0">
      <alignment horizontal="center"/>
    </xf>
    <xf numFmtId="0" fontId="154" fillId="0" borderId="0"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6" fillId="0" borderId="55" applyNumberFormat="0" applyFill="0" applyAlignment="0" applyProtection="0"/>
    <xf numFmtId="0" fontId="4" fillId="0" borderId="2" applyNumberFormat="0" applyFill="0" applyAlignment="0" applyProtection="0"/>
    <xf numFmtId="0" fontId="157" fillId="0" borderId="56" applyNumberFormat="0" applyFill="0" applyAlignment="0" applyProtection="0"/>
    <xf numFmtId="0" fontId="157" fillId="0" borderId="56" applyNumberFormat="0" applyFill="0" applyAlignment="0" applyProtection="0"/>
    <xf numFmtId="0" fontId="157" fillId="0" borderId="56" applyNumberFormat="0" applyFill="0" applyAlignment="0" applyProtection="0"/>
    <xf numFmtId="0" fontId="157" fillId="0" borderId="56" applyNumberFormat="0" applyFill="0" applyAlignment="0" applyProtection="0"/>
    <xf numFmtId="0" fontId="157" fillId="0" borderId="56" applyNumberFormat="0" applyFill="0" applyAlignment="0" applyProtection="0"/>
    <xf numFmtId="0" fontId="158" fillId="0" borderId="57" applyNumberFormat="0" applyFill="0" applyAlignment="0" applyProtection="0"/>
    <xf numFmtId="0" fontId="5" fillId="0" borderId="3" applyNumberFormat="0" applyFill="0" applyAlignment="0" applyProtection="0"/>
    <xf numFmtId="0" fontId="159" fillId="0" borderId="58" applyNumberFormat="0" applyFill="0" applyAlignment="0" applyProtection="0"/>
    <xf numFmtId="0" fontId="160" fillId="0" borderId="59" applyNumberFormat="0" applyFill="0" applyAlignment="0" applyProtection="0"/>
    <xf numFmtId="0" fontId="5" fillId="0" borderId="0" applyNumberFormat="0" applyFill="0" applyBorder="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51" fillId="0" borderId="0">
      <alignment horizontal="right"/>
    </xf>
    <xf numFmtId="0" fontId="49" fillId="0" borderId="0" applyFill="0" applyAlignment="0" applyProtection="0">
      <protection locked="0"/>
    </xf>
    <xf numFmtId="0" fontId="151" fillId="0" borderId="0">
      <alignment horizontal="left"/>
    </xf>
    <xf numFmtId="0" fontId="115" fillId="0" borderId="23" applyFill="0" applyAlignment="0" applyProtection="0">
      <protection locked="0"/>
    </xf>
    <xf numFmtId="0" fontId="23" fillId="0" borderId="0">
      <protection locked="0"/>
    </xf>
    <xf numFmtId="0" fontId="23" fillId="0" borderId="0">
      <protection locked="0"/>
    </xf>
    <xf numFmtId="0" fontId="85" fillId="0" borderId="0">
      <alignment horizontal="centerContinuous"/>
    </xf>
    <xf numFmtId="0" fontId="161" fillId="0" borderId="10">
      <alignment horizontal="center"/>
    </xf>
    <xf numFmtId="0" fontId="161" fillId="0" borderId="10">
      <alignment horizontal="center"/>
    </xf>
    <xf numFmtId="0" fontId="161" fillId="0" borderId="0">
      <alignment horizontal="center"/>
    </xf>
    <xf numFmtId="0" fontId="85" fillId="0" borderId="60">
      <alignment horizontal="center"/>
    </xf>
    <xf numFmtId="0" fontId="162" fillId="0" borderId="40">
      <alignment horizontal="left" vertical="center"/>
    </xf>
    <xf numFmtId="0" fontId="162" fillId="82" borderId="0">
      <alignment horizontal="centerContinuous" wrapText="1"/>
    </xf>
    <xf numFmtId="49" fontId="163" fillId="82" borderId="23">
      <alignment horizontal="left" vertical="center"/>
    </xf>
    <xf numFmtId="196" fontId="23" fillId="0" borderId="0"/>
    <xf numFmtId="0" fontId="164" fillId="0" borderId="0" applyNumberFormat="0" applyFill="0" applyBorder="0" applyAlignment="0" applyProtection="0"/>
    <xf numFmtId="0" fontId="95" fillId="0" borderId="61" applyNumberFormat="0" applyFill="0" applyAlignment="0" applyProtection="0"/>
    <xf numFmtId="0" fontId="165" fillId="0" borderId="0" applyNumberFormat="0" applyFill="0" applyBorder="0" applyAlignment="0" applyProtection="0">
      <alignment vertical="top"/>
      <protection locked="0"/>
    </xf>
    <xf numFmtId="0" fontId="20" fillId="0" borderId="0" applyNumberFormat="0" applyFill="0" applyBorder="0" applyAlignment="0" applyProtection="0"/>
    <xf numFmtId="0" fontId="166" fillId="0" borderId="0" applyNumberFormat="0" applyFill="0" applyBorder="0" applyAlignment="0" applyProtection="0"/>
    <xf numFmtId="0" fontId="165" fillId="0" borderId="0" applyNumberFormat="0" applyFill="0" applyBorder="0" applyAlignment="0" applyProtection="0">
      <alignment vertical="top"/>
      <protection locked="0"/>
    </xf>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23" fillId="0" borderId="0" applyFont="0" applyFill="0" applyBorder="0" applyProtection="0">
      <alignment horizontal="left"/>
    </xf>
    <xf numFmtId="0" fontId="23" fillId="0" borderId="0" applyFont="0" applyFill="0" applyBorder="0" applyProtection="0">
      <alignment horizontal="left"/>
    </xf>
    <xf numFmtId="0" fontId="23" fillId="0" borderId="0" applyFont="0" applyFill="0" applyBorder="0" applyProtection="0">
      <alignment horizontal="left"/>
    </xf>
    <xf numFmtId="0" fontId="23" fillId="0" borderId="0" applyFont="0" applyFill="0" applyBorder="0" applyProtection="0">
      <alignment horizontal="left"/>
    </xf>
    <xf numFmtId="10" fontId="47" fillId="36" borderId="18" applyNumberFormat="0" applyBorder="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9" fillId="5" borderId="4"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30" fillId="83" borderId="0"/>
    <xf numFmtId="8" fontId="47" fillId="36" borderId="0" applyFont="0" applyBorder="0" applyAlignment="0" applyProtection="0">
      <protection locked="0"/>
    </xf>
    <xf numFmtId="15" fontId="47" fillId="36" borderId="0" applyFont="0" applyBorder="0" applyAlignment="0" applyProtection="0">
      <protection locked="0"/>
    </xf>
    <xf numFmtId="0" fontId="47" fillId="36" borderId="0" applyFont="0" applyBorder="0" applyAlignment="0">
      <protection locked="0"/>
    </xf>
    <xf numFmtId="38" fontId="47" fillId="36" borderId="0">
      <protection locked="0"/>
    </xf>
    <xf numFmtId="0" fontId="47" fillId="36" borderId="0" applyFont="0" applyBorder="0" applyAlignment="0">
      <protection locked="0"/>
    </xf>
    <xf numFmtId="10" fontId="47" fillId="36" borderId="0">
      <protection locked="0"/>
    </xf>
    <xf numFmtId="0" fontId="92" fillId="36" borderId="0" applyBorder="0" applyAlignment="0">
      <protection locked="0"/>
    </xf>
    <xf numFmtId="0" fontId="169" fillId="36" borderId="0" applyNumberFormat="0" applyBorder="0" applyAlignment="0">
      <protection locked="0"/>
    </xf>
    <xf numFmtId="0" fontId="170" fillId="0" borderId="0" applyNumberFormat="0" applyFill="0" applyBorder="0" applyAlignment="0">
      <protection locked="0"/>
    </xf>
    <xf numFmtId="0" fontId="171" fillId="0" borderId="0"/>
    <xf numFmtId="0" fontId="23" fillId="0" borderId="0" applyFill="0" applyBorder="0">
      <alignment horizontal="right"/>
      <protection locked="0"/>
    </xf>
    <xf numFmtId="17" fontId="172" fillId="84" borderId="0"/>
    <xf numFmtId="224" fontId="59" fillId="0" borderId="0" applyFont="0" applyFill="0" applyBorder="0" applyAlignment="0" applyProtection="0"/>
    <xf numFmtId="40" fontId="28" fillId="0" borderId="0"/>
    <xf numFmtId="0" fontId="28" fillId="0" borderId="0" applyFill="0" applyBorder="0">
      <alignment horizontal="right"/>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8" fillId="0" borderId="0" applyFill="0" applyBorder="0">
      <alignment horizontal="right"/>
      <protection locked="0"/>
    </xf>
    <xf numFmtId="0" fontId="49" fillId="41" borderId="47">
      <alignment horizontal="left" vertical="center" wrapText="1"/>
    </xf>
    <xf numFmtId="0" fontId="27" fillId="0" borderId="0" applyFont="0" applyFill="0" applyBorder="0" applyAlignment="0" applyProtection="0"/>
    <xf numFmtId="0" fontId="27" fillId="0" borderId="0" applyFont="0" applyFill="0" applyBorder="0" applyAlignment="0" applyProtection="0"/>
    <xf numFmtId="0" fontId="173" fillId="0" borderId="0" applyNumberFormat="0" applyFill="0" applyBorder="0" applyProtection="0">
      <alignment horizontal="left" vertical="center"/>
    </xf>
    <xf numFmtId="38" fontId="174" fillId="0" borderId="0"/>
    <xf numFmtId="38" fontId="175" fillId="0" borderId="0"/>
    <xf numFmtId="38" fontId="176" fillId="0" borderId="0"/>
    <xf numFmtId="38" fontId="177" fillId="0" borderId="0"/>
    <xf numFmtId="0" fontId="59" fillId="0" borderId="0"/>
    <xf numFmtId="0" fontId="59" fillId="0" borderId="0"/>
    <xf numFmtId="0" fontId="178" fillId="85" borderId="47"/>
    <xf numFmtId="0" fontId="89" fillId="0" borderId="0">
      <alignment horizontal="left"/>
    </xf>
    <xf numFmtId="0" fontId="179" fillId="0" borderId="0"/>
    <xf numFmtId="0" fontId="180" fillId="0" borderId="0"/>
    <xf numFmtId="0" fontId="12" fillId="0" borderId="6" applyNumberFormat="0" applyFill="0" applyAlignment="0" applyProtection="0"/>
    <xf numFmtId="0" fontId="181" fillId="0" borderId="62" applyNumberFormat="0" applyFill="0" applyAlignment="0" applyProtection="0"/>
    <xf numFmtId="0" fontId="182" fillId="0" borderId="63" applyNumberFormat="0" applyFill="0" applyAlignment="0" applyProtection="0"/>
    <xf numFmtId="0" fontId="183" fillId="86" borderId="0"/>
    <xf numFmtId="0" fontId="132" fillId="0" borderId="0">
      <alignment horizontal="right"/>
    </xf>
    <xf numFmtId="0" fontId="132" fillId="0" borderId="0">
      <alignment horizontal="right"/>
    </xf>
    <xf numFmtId="0" fontId="184" fillId="0" borderId="0">
      <alignment horizontal="right"/>
    </xf>
    <xf numFmtId="0" fontId="184" fillId="0" borderId="0">
      <alignment horizontal="right"/>
    </xf>
    <xf numFmtId="0" fontId="132" fillId="0" borderId="0">
      <alignment horizontal="right"/>
    </xf>
    <xf numFmtId="0" fontId="65" fillId="0" borderId="0">
      <alignment horizontal="right"/>
    </xf>
    <xf numFmtId="0" fontId="65" fillId="0" borderId="0">
      <alignment horizontal="right"/>
    </xf>
    <xf numFmtId="0" fontId="65" fillId="0" borderId="0">
      <alignment horizontal="right"/>
    </xf>
    <xf numFmtId="0" fontId="65" fillId="0" borderId="0">
      <alignment horizontal="right"/>
    </xf>
    <xf numFmtId="0" fontId="132" fillId="0" borderId="0">
      <alignment horizontal="right"/>
    </xf>
    <xf numFmtId="0" fontId="134" fillId="0" borderId="0">
      <alignment horizontal="right"/>
    </xf>
    <xf numFmtId="0" fontId="65" fillId="0" borderId="0">
      <alignment horizontal="right"/>
    </xf>
    <xf numFmtId="0" fontId="65" fillId="0" borderId="0">
      <alignment horizontal="right"/>
    </xf>
    <xf numFmtId="0" fontId="132" fillId="0" borderId="0">
      <alignment horizontal="right"/>
    </xf>
    <xf numFmtId="0" fontId="132" fillId="0" borderId="0">
      <alignment horizontal="right"/>
    </xf>
    <xf numFmtId="0" fontId="132" fillId="0" borderId="0">
      <alignment horizontal="right"/>
    </xf>
    <xf numFmtId="0" fontId="23" fillId="36" borderId="23" applyFont="0" applyFill="0" applyBorder="0" applyAlignment="0" applyProtection="0">
      <alignment horizontal="right"/>
    </xf>
    <xf numFmtId="0" fontId="28" fillId="0" borderId="0" applyNumberFormat="0" applyFill="0" applyBorder="0" applyAlignment="0" applyProtection="0"/>
    <xf numFmtId="0" fontId="28" fillId="0" borderId="0" applyNumberFormat="0" applyFill="0" applyBorder="0" applyAlignment="0" applyProtection="0"/>
    <xf numFmtId="0" fontId="185" fillId="0" borderId="0" applyNumberFormat="0" applyFill="0" applyBorder="0" applyAlignment="0" applyProtection="0"/>
    <xf numFmtId="0" fontId="138" fillId="0" borderId="0" applyFill="0" applyBorder="0" applyAlignment="0" applyProtection="0"/>
    <xf numFmtId="0" fontId="28" fillId="0" borderId="0"/>
    <xf numFmtId="217" fontId="23" fillId="0" borderId="0" applyFont="0" applyFill="0" applyBorder="0" applyAlignment="0" applyProtection="0"/>
    <xf numFmtId="214"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37" fontId="28" fillId="0" borderId="0" applyBorder="0"/>
    <xf numFmtId="225" fontId="28" fillId="0" borderId="0"/>
    <xf numFmtId="0" fontId="132" fillId="0" borderId="0">
      <alignment horizontal="right"/>
    </xf>
    <xf numFmtId="14" fontId="64" fillId="0" borderId="0" applyFont="0" applyFill="0" applyBorder="0" applyAlignment="0" applyProtection="0"/>
    <xf numFmtId="0" fontId="186" fillId="0" borderId="10"/>
    <xf numFmtId="0" fontId="186" fillId="0" borderId="10"/>
    <xf numFmtId="226" fontId="23" fillId="0" borderId="0" applyFont="0" applyFill="0" applyBorder="0" applyAlignment="0" applyProtection="0"/>
    <xf numFmtId="227"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137" fillId="0" borderId="0">
      <protection locked="0"/>
    </xf>
    <xf numFmtId="38" fontId="187" fillId="0" borderId="0" applyNumberFormat="0" applyBorder="0" applyAlignment="0"/>
    <xf numFmtId="0" fontId="29" fillId="0" borderId="0"/>
    <xf numFmtId="0" fontId="188" fillId="0" borderId="23" applyFont="0" applyFill="0" applyBorder="0" applyProtection="0"/>
    <xf numFmtId="0" fontId="188" fillId="0" borderId="23" applyFont="0" applyFill="0" applyBorder="0" applyAlignment="0" applyProtection="0"/>
    <xf numFmtId="0" fontId="110" fillId="0" borderId="0" applyFont="0" applyFill="0" applyBorder="0" applyAlignment="0" applyProtection="0">
      <alignment horizontal="right"/>
    </xf>
    <xf numFmtId="0" fontId="188" fillId="0" borderId="0" applyFont="0" applyFill="0" applyBorder="0" applyAlignment="0" applyProtection="0"/>
    <xf numFmtId="0" fontId="188" fillId="0" borderId="0" applyFont="0" applyFill="0" applyBorder="0" applyAlignment="0" applyProtection="0"/>
    <xf numFmtId="0" fontId="78" fillId="0" borderId="0" applyFont="0" applyFill="0" applyBorder="0" applyAlignment="0" applyProtection="0"/>
    <xf numFmtId="0" fontId="89"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0" fontId="110" fillId="0" borderId="0" applyFont="0" applyFill="0" applyBorder="0" applyProtection="0">
      <alignment horizontal="right"/>
    </xf>
    <xf numFmtId="0" fontId="23" fillId="0" borderId="0"/>
    <xf numFmtId="0" fontId="110" fillId="0" borderId="0" applyFont="0" applyFill="0" applyBorder="0" applyAlignment="0" applyProtection="0">
      <alignment horizontal="right"/>
    </xf>
    <xf numFmtId="0" fontId="189" fillId="0" borderId="0" applyFill="0" applyBorder="0" applyAlignment="0" applyProtection="0"/>
    <xf numFmtId="17" fontId="63" fillId="0" borderId="0" applyFont="0" applyFill="0" applyBorder="0" applyAlignment="0" applyProtection="0"/>
    <xf numFmtId="0" fontId="64" fillId="34" borderId="0" applyFont="0" applyBorder="0" applyAlignment="0" applyProtection="0">
      <alignment horizontal="right"/>
      <protection hidden="1"/>
    </xf>
    <xf numFmtId="0" fontId="8" fillId="4" borderId="0" applyNumberFormat="0" applyBorder="0" applyAlignment="0" applyProtection="0"/>
    <xf numFmtId="0" fontId="190" fillId="42" borderId="0" applyNumberFormat="0" applyBorder="0" applyAlignment="0" applyProtection="0"/>
    <xf numFmtId="0" fontId="190" fillId="52" borderId="0" applyNumberFormat="0" applyBorder="0" applyAlignment="0" applyProtection="0"/>
    <xf numFmtId="0" fontId="23" fillId="0" borderId="0"/>
    <xf numFmtId="0" fontId="59" fillId="0" borderId="0" applyNumberFormat="0" applyFill="0" applyAlignment="0" applyProtection="0"/>
    <xf numFmtId="37" fontId="191" fillId="0" borderId="0"/>
    <xf numFmtId="1" fontId="63" fillId="0" borderId="23" applyFont="0" applyFill="0" applyBorder="0" applyAlignment="0" applyProtection="0"/>
    <xf numFmtId="0" fontId="28" fillId="0" borderId="0" applyFont="0" applyFill="0" applyBorder="0" applyAlignment="0" applyProtection="0"/>
    <xf numFmtId="0" fontId="192" fillId="34" borderId="0">
      <alignment horizontal="left" indent="1"/>
    </xf>
    <xf numFmtId="0" fontId="59" fillId="0" borderId="0" applyBorder="0">
      <alignment vertical="center"/>
    </xf>
    <xf numFmtId="0" fontId="23" fillId="0" borderId="0"/>
    <xf numFmtId="0" fontId="23" fillId="0" borderId="0"/>
    <xf numFmtId="38" fontId="47" fillId="0" borderId="0" applyFont="0" applyFill="0" applyBorder="0" applyAlignment="0"/>
    <xf numFmtId="0" fontId="23" fillId="0" borderId="0" applyFont="0" applyFill="0" applyBorder="0" applyAlignment="0"/>
    <xf numFmtId="40" fontId="47" fillId="0" borderId="0" applyFont="0" applyFill="0" applyBorder="0" applyAlignment="0" applyProtection="0"/>
    <xf numFmtId="0" fontId="47" fillId="0" borderId="0" applyFont="0" applyFill="0" applyBorder="0" applyAlignment="0"/>
    <xf numFmtId="3" fontId="61" fillId="0" borderId="0"/>
    <xf numFmtId="0" fontId="23" fillId="0" borderId="0"/>
    <xf numFmtId="0" fontId="23"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 fillId="0" borderId="0"/>
    <xf numFmtId="0" fontId="23"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3" fillId="0" borderId="0"/>
    <xf numFmtId="0" fontId="23" fillId="0" borderId="0"/>
    <xf numFmtId="0" fontId="23" fillId="0" borderId="0"/>
    <xf numFmtId="0" fontId="1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38" fontId="78" fillId="0" borderId="0">
      <alignment vertical="top"/>
    </xf>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0" fontId="47" fillId="0" borderId="0"/>
    <xf numFmtId="0" fontId="23" fillId="0" borderId="0"/>
    <xf numFmtId="0" fontId="23" fillId="0" borderId="0"/>
    <xf numFmtId="0" fontId="23" fillId="0" borderId="0"/>
    <xf numFmtId="0" fontId="23" fillId="0" borderId="0"/>
    <xf numFmtId="0" fontId="23" fillId="0" borderId="0"/>
    <xf numFmtId="0" fontId="117" fillId="0" borderId="0"/>
    <xf numFmtId="0" fontId="23" fillId="0" borderId="0"/>
    <xf numFmtId="0" fontId="23" fillId="0" borderId="0"/>
    <xf numFmtId="0" fontId="25" fillId="0" borderId="0"/>
    <xf numFmtId="0" fontId="23" fillId="0" borderId="0"/>
    <xf numFmtId="0" fontId="23" fillId="0" borderId="0"/>
    <xf numFmtId="0" fontId="24" fillId="0" borderId="0"/>
    <xf numFmtId="0" fontId="118" fillId="0" borderId="0"/>
    <xf numFmtId="0" fontId="23" fillId="0" borderId="0"/>
    <xf numFmtId="0" fontId="23" fillId="0" borderId="0"/>
    <xf numFmtId="0" fontId="118"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47" fillId="0" borderId="0"/>
    <xf numFmtId="0" fontId="28" fillId="0" borderId="0"/>
    <xf numFmtId="0" fontId="23" fillId="0" borderId="0"/>
    <xf numFmtId="0" fontId="23" fillId="0" borderId="0"/>
    <xf numFmtId="0" fontId="25"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9" fillId="0" borderId="0"/>
    <xf numFmtId="0" fontId="1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1" fillId="0" borderId="0"/>
    <xf numFmtId="0" fontId="193" fillId="0" borderId="0" applyNumberForma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8" fillId="0" borderId="0"/>
    <xf numFmtId="0" fontId="23" fillId="0" borderId="0"/>
    <xf numFmtId="38" fontId="78" fillId="0" borderId="0">
      <alignment vertical="top"/>
    </xf>
    <xf numFmtId="0" fontId="194" fillId="0" borderId="0"/>
    <xf numFmtId="0" fontId="28"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3" fillId="0" borderId="0"/>
    <xf numFmtId="0" fontId="23" fillId="0" borderId="0"/>
    <xf numFmtId="0" fontId="119"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alignment vertical="top"/>
    </xf>
    <xf numFmtId="0" fontId="23" fillId="0" borderId="0"/>
    <xf numFmtId="0" fontId="23" fillId="0" borderId="0"/>
    <xf numFmtId="0" fontId="2" fillId="0" borderId="0"/>
    <xf numFmtId="0" fontId="2" fillId="0" borderId="0"/>
    <xf numFmtId="0" fontId="2" fillId="0" borderId="0"/>
    <xf numFmtId="0" fontId="2" fillId="0" borderId="0"/>
    <xf numFmtId="0" fontId="23"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61"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5" fillId="0" borderId="0" applyNumberFormat="0" applyFill="0" applyBorder="0" applyAlignment="0" applyProtection="0"/>
    <xf numFmtId="0" fontId="47" fillId="0" borderId="0" applyFont="0" applyFill="0" applyBorder="0" applyAlignment="0" applyProtection="0"/>
    <xf numFmtId="0" fontId="195" fillId="0" borderId="0"/>
    <xf numFmtId="0" fontId="170" fillId="0" borderId="0">
      <alignment horizontal="left"/>
      <protection locked="0"/>
    </xf>
    <xf numFmtId="0" fontId="103" fillId="0" borderId="0">
      <alignment horizontal="left"/>
      <protection locked="0"/>
    </xf>
    <xf numFmtId="0" fontId="23" fillId="0" borderId="0"/>
    <xf numFmtId="0" fontId="23" fillId="0" borderId="0"/>
    <xf numFmtId="0" fontId="196" fillId="0" borderId="0" applyNumberFormat="0" applyFill="0" applyBorder="0" applyAlignment="0" applyProtection="0"/>
    <xf numFmtId="0" fontId="197" fillId="0" borderId="0" applyNumberFormat="0" applyFill="0" applyBorder="0" applyAlignment="0" applyProtection="0"/>
    <xf numFmtId="0" fontId="80" fillId="0" borderId="0" applyNumberFormat="0" applyFill="0" applyBorder="0" applyAlignment="0" applyProtection="0"/>
    <xf numFmtId="0" fontId="24"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5" fillId="37" borderId="64" applyNumberFormat="0" applyFont="0" applyAlignment="0" applyProtection="0"/>
    <xf numFmtId="0" fontId="2" fillId="8" borderId="8" applyNumberFormat="0" applyFont="0" applyAlignment="0" applyProtection="0"/>
    <xf numFmtId="0" fontId="24"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3" fillId="37" borderId="64"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4" fillId="37" borderId="64" applyNumberFormat="0" applyFont="0" applyAlignment="0" applyProtection="0"/>
    <xf numFmtId="0" fontId="23" fillId="37" borderId="64" applyNumberFormat="0" applyFont="0" applyAlignment="0" applyProtection="0"/>
    <xf numFmtId="0" fontId="25" fillId="37" borderId="64" applyNumberFormat="0" applyFont="0" applyAlignment="0" applyProtection="0"/>
    <xf numFmtId="0" fontId="23" fillId="37" borderId="64" applyNumberFormat="0" applyFont="0" applyAlignment="0" applyProtection="0"/>
    <xf numFmtId="0" fontId="23" fillId="37" borderId="64" applyNumberFormat="0" applyFont="0" applyAlignment="0" applyProtection="0"/>
    <xf numFmtId="0" fontId="25" fillId="37" borderId="64" applyNumberFormat="0" applyFont="0" applyAlignment="0" applyProtection="0"/>
    <xf numFmtId="0" fontId="24" fillId="37" borderId="64" applyNumberFormat="0" applyFont="0" applyAlignment="0" applyProtection="0"/>
    <xf numFmtId="0" fontId="23" fillId="37" borderId="64" applyNumberFormat="0" applyFont="0" applyAlignment="0" applyProtection="0"/>
    <xf numFmtId="0" fontId="23" fillId="37" borderId="64" applyNumberFormat="0" applyFont="0" applyAlignment="0" applyProtection="0"/>
    <xf numFmtId="0" fontId="24" fillId="37" borderId="64" applyNumberFormat="0" applyFont="0" applyAlignment="0" applyProtection="0"/>
    <xf numFmtId="0" fontId="24" fillId="37" borderId="64" applyNumberFormat="0" applyFont="0" applyAlignment="0" applyProtection="0"/>
    <xf numFmtId="0" fontId="29" fillId="42" borderId="64" applyNumberFormat="0" applyFont="0" applyAlignment="0" applyProtection="0"/>
    <xf numFmtId="3" fontId="23" fillId="0" borderId="0"/>
    <xf numFmtId="3" fontId="23" fillId="0" borderId="0"/>
    <xf numFmtId="0" fontId="64" fillId="0" borderId="0" applyFont="0" applyFill="0" applyBorder="0" applyAlignment="0" applyProtection="0"/>
    <xf numFmtId="1" fontId="97" fillId="0" borderId="0">
      <alignment horizontal="right"/>
      <protection locked="0"/>
    </xf>
    <xf numFmtId="0" fontId="76" fillId="0" borderId="0">
      <alignment horizontal="right"/>
      <protection locked="0"/>
    </xf>
    <xf numFmtId="0" fontId="97" fillId="0" borderId="0">
      <protection locked="0"/>
    </xf>
    <xf numFmtId="2" fontId="76" fillId="0" borderId="0">
      <alignment horizontal="right"/>
      <protection locked="0"/>
    </xf>
    <xf numFmtId="2" fontId="97" fillId="0" borderId="0">
      <alignment horizontal="right"/>
      <protection locked="0"/>
    </xf>
    <xf numFmtId="228" fontId="59" fillId="0" borderId="0" applyFill="0" applyBorder="0" applyAlignment="0" applyProtection="0"/>
    <xf numFmtId="229" fontId="78" fillId="0" borderId="0" applyProtection="0">
      <alignment horizontal="center" vertical="top"/>
    </xf>
    <xf numFmtId="0" fontId="23" fillId="0" borderId="0" applyNumberFormat="0" applyFill="0" applyBorder="0" applyAlignment="0" applyProtection="0"/>
    <xf numFmtId="0" fontId="115" fillId="0" borderId="0" applyNumberFormat="0" applyFill="0" applyBorder="0" applyAlignment="0" applyProtection="0"/>
    <xf numFmtId="230" fontId="28" fillId="0" borderId="0" applyNumberFormat="0" applyFill="0" applyBorder="0" applyAlignment="0" applyProtection="0"/>
    <xf numFmtId="0" fontId="198" fillId="0" borderId="0" applyNumberFormat="0" applyFill="0" applyBorder="0" applyAlignment="0" applyProtection="0"/>
    <xf numFmtId="37" fontId="59" fillId="0" borderId="0" applyBorder="0">
      <alignment horizontal="right" vertical="center"/>
    </xf>
    <xf numFmtId="0" fontId="23" fillId="0" borderId="0" applyNumberFormat="0" applyFill="0" applyBorder="0" applyAlignment="0" applyProtection="0"/>
    <xf numFmtId="0" fontId="64" fillId="0" borderId="0" applyFont="0" applyFill="0" applyBorder="0" applyAlignment="0" applyProtection="0"/>
    <xf numFmtId="0" fontId="23" fillId="0" borderId="0" applyBorder="0" applyProtection="0"/>
    <xf numFmtId="0" fontId="10" fillId="6" borderId="5" applyNumberFormat="0" applyAlignment="0" applyProtection="0"/>
    <xf numFmtId="0" fontId="199" fillId="75" borderId="65" applyNumberFormat="0" applyAlignment="0" applyProtection="0"/>
    <xf numFmtId="0" fontId="199" fillId="75" borderId="65" applyNumberFormat="0" applyAlignment="0" applyProtection="0"/>
    <xf numFmtId="0" fontId="199" fillId="48" borderId="65" applyNumberFormat="0" applyAlignment="0" applyProtection="0"/>
    <xf numFmtId="40" fontId="200" fillId="67" borderId="0">
      <alignment horizontal="right"/>
    </xf>
    <xf numFmtId="0" fontId="201" fillId="67" borderId="0">
      <alignment horizontal="right"/>
    </xf>
    <xf numFmtId="0" fontId="202" fillId="67" borderId="31"/>
    <xf numFmtId="0" fontId="202" fillId="0" borderId="0" applyBorder="0">
      <alignment horizontal="centerContinuous"/>
    </xf>
    <xf numFmtId="0" fontId="203" fillId="0" borderId="0" applyBorder="0">
      <alignment horizontal="centerContinuous"/>
    </xf>
    <xf numFmtId="0" fontId="78" fillId="87" borderId="0" applyNumberFormat="0" applyFont="0" applyBorder="0" applyAlignment="0"/>
    <xf numFmtId="37" fontId="57" fillId="0" borderId="0" applyNumberFormat="0" applyFill="0" applyBorder="0" applyAlignment="0" applyProtection="0"/>
    <xf numFmtId="14" fontId="80" fillId="0" borderId="0"/>
    <xf numFmtId="37" fontId="47" fillId="0" borderId="0" applyBorder="0">
      <protection locked="0"/>
    </xf>
    <xf numFmtId="14" fontId="80" fillId="0" borderId="0"/>
    <xf numFmtId="0" fontId="23" fillId="0" borderId="0"/>
    <xf numFmtId="0" fontId="23" fillId="0" borderId="0"/>
    <xf numFmtId="231" fontId="23" fillId="0" borderId="0"/>
    <xf numFmtId="0" fontId="23" fillId="0" borderId="0"/>
    <xf numFmtId="232" fontId="23" fillId="0" borderId="0"/>
    <xf numFmtId="0" fontId="23" fillId="0" borderId="0"/>
    <xf numFmtId="0" fontId="28" fillId="0" borderId="0"/>
    <xf numFmtId="233" fontId="28" fillId="0" borderId="0"/>
    <xf numFmtId="0" fontId="23" fillId="0" borderId="0"/>
    <xf numFmtId="233" fontId="28" fillId="0" borderId="0"/>
    <xf numFmtId="0" fontId="28" fillId="0" borderId="0"/>
    <xf numFmtId="0" fontId="28" fillId="0" borderId="0"/>
    <xf numFmtId="233" fontId="28" fillId="0" borderId="0"/>
    <xf numFmtId="0" fontId="23" fillId="0" borderId="0"/>
    <xf numFmtId="233" fontId="28" fillId="0" borderId="0"/>
    <xf numFmtId="0" fontId="28" fillId="0" borderId="0"/>
    <xf numFmtId="0" fontId="204" fillId="0" borderId="0"/>
    <xf numFmtId="0" fontId="28" fillId="0" borderId="0"/>
    <xf numFmtId="0" fontId="28" fillId="0" borderId="0"/>
    <xf numFmtId="0" fontId="28" fillId="0" borderId="0"/>
    <xf numFmtId="0" fontId="23" fillId="0" borderId="0"/>
    <xf numFmtId="0" fontId="23" fillId="0" borderId="0"/>
    <xf numFmtId="0" fontId="204"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4" fillId="0" borderId="0"/>
    <xf numFmtId="0" fontId="89" fillId="0" borderId="0"/>
    <xf numFmtId="0" fontId="89" fillId="0" borderId="0"/>
    <xf numFmtId="0" fontId="23" fillId="0" borderId="0"/>
    <xf numFmtId="0" fontId="23" fillId="0" borderId="0"/>
    <xf numFmtId="231" fontId="23" fillId="0" borderId="0"/>
    <xf numFmtId="0" fontId="23" fillId="0" borderId="0"/>
    <xf numFmtId="232" fontId="23" fillId="0" borderId="0"/>
    <xf numFmtId="0" fontId="23" fillId="0" borderId="0"/>
    <xf numFmtId="0" fontId="28" fillId="0" borderId="0"/>
    <xf numFmtId="233" fontId="28" fillId="0" borderId="0"/>
    <xf numFmtId="0" fontId="23" fillId="0" borderId="0"/>
    <xf numFmtId="233" fontId="28" fillId="0" borderId="0"/>
    <xf numFmtId="0" fontId="28" fillId="0" borderId="0"/>
    <xf numFmtId="0" fontId="28" fillId="0" borderId="0"/>
    <xf numFmtId="233" fontId="28" fillId="0" borderId="0"/>
    <xf numFmtId="0" fontId="23" fillId="0" borderId="0"/>
    <xf numFmtId="233" fontId="28" fillId="0" borderId="0"/>
    <xf numFmtId="0" fontId="28" fillId="0" borderId="0"/>
    <xf numFmtId="0" fontId="28" fillId="0" borderId="0"/>
    <xf numFmtId="0" fontId="28" fillId="0" borderId="0"/>
    <xf numFmtId="0" fontId="28" fillId="0" borderId="0"/>
    <xf numFmtId="0" fontId="23" fillId="0" borderId="0"/>
    <xf numFmtId="0" fontId="23"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9" fillId="0" borderId="0"/>
    <xf numFmtId="0" fontId="28" fillId="0" borderId="0"/>
    <xf numFmtId="240" fontId="28" fillId="0" borderId="0"/>
    <xf numFmtId="0" fontId="23" fillId="0" borderId="0"/>
    <xf numFmtId="0" fontId="23"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3" fillId="0" borderId="0"/>
    <xf numFmtId="241" fontId="89"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41" fontId="89" fillId="0" borderId="0"/>
    <xf numFmtId="0" fontId="89" fillId="0" borderId="0"/>
    <xf numFmtId="0" fontId="23" fillId="0" borderId="0"/>
    <xf numFmtId="0" fontId="89" fillId="0" borderId="0"/>
    <xf numFmtId="0" fontId="23" fillId="0" borderId="0"/>
    <xf numFmtId="241" fontId="89" fillId="0" borderId="0"/>
    <xf numFmtId="0" fontId="28" fillId="0" borderId="0"/>
    <xf numFmtId="0" fontId="89" fillId="0" borderId="0"/>
    <xf numFmtId="0" fontId="23" fillId="0" borderId="0"/>
    <xf numFmtId="0" fontId="23" fillId="0" borderId="0"/>
    <xf numFmtId="0" fontId="28" fillId="0" borderId="0"/>
    <xf numFmtId="242" fontId="28" fillId="0" borderId="0"/>
    <xf numFmtId="0" fontId="23" fillId="0" borderId="0"/>
    <xf numFmtId="0" fontId="28" fillId="0" borderId="0"/>
    <xf numFmtId="0" fontId="28" fillId="0" borderId="0"/>
    <xf numFmtId="243" fontId="28" fillId="0" borderId="0"/>
    <xf numFmtId="243" fontId="28" fillId="0" borderId="0"/>
    <xf numFmtId="0" fontId="28" fillId="0" borderId="0"/>
    <xf numFmtId="0" fontId="28" fillId="0" borderId="0"/>
    <xf numFmtId="0" fontId="23" fillId="0" borderId="0"/>
    <xf numFmtId="0" fontId="23" fillId="0" borderId="0"/>
    <xf numFmtId="0" fontId="23" fillId="0" borderId="0"/>
    <xf numFmtId="0" fontId="28" fillId="0" borderId="0"/>
    <xf numFmtId="0" fontId="28" fillId="0" borderId="0"/>
    <xf numFmtId="244"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8" fillId="0" borderId="0"/>
    <xf numFmtId="0" fontId="23" fillId="0" borderId="0"/>
    <xf numFmtId="245" fontId="23" fillId="0" borderId="0"/>
    <xf numFmtId="0" fontId="23" fillId="0" borderId="0"/>
    <xf numFmtId="0" fontId="23" fillId="0" borderId="0"/>
    <xf numFmtId="246" fontId="28" fillId="0" borderId="0"/>
    <xf numFmtId="0" fontId="28" fillId="0" borderId="0"/>
    <xf numFmtId="0" fontId="28" fillId="0" borderId="0"/>
    <xf numFmtId="247" fontId="28" fillId="0" borderId="0"/>
    <xf numFmtId="0" fontId="23" fillId="0" borderId="0"/>
    <xf numFmtId="0" fontId="28" fillId="0" borderId="0"/>
    <xf numFmtId="247" fontId="28" fillId="0" borderId="0"/>
    <xf numFmtId="0" fontId="28" fillId="0" borderId="0"/>
    <xf numFmtId="0" fontId="23" fillId="0" borderId="0"/>
    <xf numFmtId="0" fontId="28" fillId="0" borderId="0"/>
    <xf numFmtId="0" fontId="28" fillId="0" borderId="0"/>
    <xf numFmtId="0" fontId="28" fillId="0" borderId="0"/>
    <xf numFmtId="248" fontId="28" fillId="0" borderId="0"/>
    <xf numFmtId="0" fontId="23" fillId="0" borderId="0"/>
    <xf numFmtId="0" fontId="28" fillId="0" borderId="0"/>
    <xf numFmtId="242" fontId="28" fillId="0" borderId="0"/>
    <xf numFmtId="0" fontId="23" fillId="0" borderId="0"/>
    <xf numFmtId="0" fontId="28" fillId="0" borderId="0"/>
    <xf numFmtId="0" fontId="28" fillId="0" borderId="0"/>
    <xf numFmtId="0" fontId="89" fillId="0" borderId="0"/>
    <xf numFmtId="0" fontId="28" fillId="0" borderId="0"/>
    <xf numFmtId="248" fontId="28" fillId="0" borderId="0"/>
    <xf numFmtId="0" fontId="23" fillId="0" borderId="0"/>
    <xf numFmtId="0" fontId="28" fillId="0" borderId="0"/>
    <xf numFmtId="242" fontId="28" fillId="0" borderId="0"/>
    <xf numFmtId="0" fontId="23" fillId="0" borderId="0"/>
    <xf numFmtId="0" fontId="28" fillId="0" borderId="0"/>
    <xf numFmtId="0" fontId="28" fillId="0" borderId="0"/>
    <xf numFmtId="0" fontId="23" fillId="0" borderId="0"/>
    <xf numFmtId="0" fontId="28" fillId="0" borderId="0"/>
    <xf numFmtId="249" fontId="28" fillId="0" borderId="0"/>
    <xf numFmtId="249" fontId="28" fillId="0" borderId="0"/>
    <xf numFmtId="198" fontId="23" fillId="0" borderId="0"/>
    <xf numFmtId="0" fontId="28" fillId="0" borderId="0"/>
    <xf numFmtId="0" fontId="28" fillId="0" borderId="0"/>
    <xf numFmtId="0" fontId="23" fillId="0" borderId="0"/>
    <xf numFmtId="198" fontId="23" fillId="0" borderId="0"/>
    <xf numFmtId="0" fontId="28" fillId="0" borderId="0"/>
    <xf numFmtId="0" fontId="28" fillId="0" borderId="0"/>
    <xf numFmtId="249" fontId="28" fillId="0" borderId="0"/>
    <xf numFmtId="249" fontId="28" fillId="0" borderId="0"/>
    <xf numFmtId="0" fontId="28" fillId="0" borderId="0"/>
    <xf numFmtId="250" fontId="28" fillId="0" borderId="0"/>
    <xf numFmtId="0" fontId="23" fillId="0" borderId="0"/>
    <xf numFmtId="250" fontId="28" fillId="0" borderId="0"/>
    <xf numFmtId="0" fontId="28" fillId="0" borderId="0"/>
    <xf numFmtId="251" fontId="28" fillId="0" borderId="0"/>
    <xf numFmtId="0" fontId="23" fillId="0" borderId="0"/>
    <xf numFmtId="0" fontId="23" fillId="0" borderId="0"/>
    <xf numFmtId="0" fontId="23" fillId="0" borderId="0"/>
    <xf numFmtId="251" fontId="28" fillId="0" borderId="0"/>
    <xf numFmtId="0" fontId="28" fillId="0" borderId="0"/>
    <xf numFmtId="0" fontId="23" fillId="0" borderId="0"/>
    <xf numFmtId="250" fontId="28" fillId="0" borderId="0"/>
    <xf numFmtId="0" fontId="28" fillId="0" borderId="0"/>
    <xf numFmtId="250" fontId="28" fillId="0" borderId="0"/>
    <xf numFmtId="0" fontId="23" fillId="0" borderId="0"/>
    <xf numFmtId="0" fontId="28" fillId="0" borderId="0"/>
    <xf numFmtId="0" fontId="28" fillId="0" borderId="0"/>
    <xf numFmtId="252" fontId="28" fillId="0" borderId="0"/>
    <xf numFmtId="0" fontId="28" fillId="0" borderId="0"/>
    <xf numFmtId="0" fontId="23" fillId="0" borderId="0"/>
    <xf numFmtId="0" fontId="28" fillId="0" borderId="0"/>
    <xf numFmtId="251" fontId="28" fillId="0" borderId="0"/>
    <xf numFmtId="0"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0" fontId="28" fillId="0" borderId="0"/>
    <xf numFmtId="0" fontId="28" fillId="0" borderId="0"/>
    <xf numFmtId="254" fontId="28" fillId="0" borderId="0"/>
    <xf numFmtId="254"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251" fontId="28" fillId="0" borderId="0"/>
    <xf numFmtId="251"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0" fontId="28" fillId="0" borderId="0"/>
    <xf numFmtId="252" fontId="28" fillId="0" borderId="0"/>
    <xf numFmtId="0" fontId="23" fillId="0" borderId="0"/>
    <xf numFmtId="0" fontId="28" fillId="0" borderId="0"/>
    <xf numFmtId="0" fontId="28" fillId="0" borderId="0"/>
    <xf numFmtId="248" fontId="28" fillId="0" borderId="0"/>
    <xf numFmtId="0" fontId="23" fillId="0" borderId="0"/>
    <xf numFmtId="0" fontId="28" fillId="0" borderId="0"/>
    <xf numFmtId="0" fontId="28" fillId="0" borderId="0"/>
    <xf numFmtId="240" fontId="28" fillId="0" borderId="0"/>
    <xf numFmtId="0" fontId="23" fillId="0" borderId="0"/>
    <xf numFmtId="0" fontId="23"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04" fillId="0" borderId="0"/>
    <xf numFmtId="0" fontId="23" fillId="0" borderId="0"/>
    <xf numFmtId="14" fontId="80" fillId="0" borderId="0"/>
    <xf numFmtId="14" fontId="80" fillId="0" borderId="0"/>
    <xf numFmtId="241" fontId="204"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41" fontId="204" fillId="0" borderId="0"/>
    <xf numFmtId="0" fontId="204" fillId="0" borderId="0"/>
    <xf numFmtId="0" fontId="23" fillId="0" borderId="0"/>
    <xf numFmtId="0" fontId="204" fillId="0" borderId="0"/>
    <xf numFmtId="0" fontId="23" fillId="0" borderId="0"/>
    <xf numFmtId="241" fontId="204" fillId="0" borderId="0"/>
    <xf numFmtId="0" fontId="28" fillId="0" borderId="0"/>
    <xf numFmtId="0" fontId="204" fillId="0" borderId="0"/>
    <xf numFmtId="0" fontId="23" fillId="0" borderId="0"/>
    <xf numFmtId="0" fontId="23" fillId="0" borderId="0"/>
    <xf numFmtId="0" fontId="28" fillId="0" borderId="0"/>
    <xf numFmtId="242" fontId="28" fillId="0" borderId="0"/>
    <xf numFmtId="0" fontId="23" fillId="0" borderId="0"/>
    <xf numFmtId="0" fontId="28" fillId="0" borderId="0"/>
    <xf numFmtId="0" fontId="28" fillId="0" borderId="0"/>
    <xf numFmtId="243" fontId="28" fillId="0" borderId="0"/>
    <xf numFmtId="243" fontId="28" fillId="0" borderId="0"/>
    <xf numFmtId="0" fontId="28" fillId="0" borderId="0"/>
    <xf numFmtId="0" fontId="28" fillId="0" borderId="0"/>
    <xf numFmtId="0" fontId="23" fillId="0" borderId="0"/>
    <xf numFmtId="0" fontId="23" fillId="0" borderId="0"/>
    <xf numFmtId="0" fontId="23" fillId="0" borderId="0"/>
    <xf numFmtId="0" fontId="28" fillId="0" borderId="0"/>
    <xf numFmtId="0" fontId="28" fillId="0" borderId="0"/>
    <xf numFmtId="244"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8" fillId="0" borderId="0"/>
    <xf numFmtId="0" fontId="23" fillId="0" borderId="0"/>
    <xf numFmtId="245" fontId="23" fillId="0" borderId="0"/>
    <xf numFmtId="0" fontId="23" fillId="0" borderId="0"/>
    <xf numFmtId="0" fontId="23" fillId="0" borderId="0"/>
    <xf numFmtId="246" fontId="28" fillId="0" borderId="0"/>
    <xf numFmtId="14" fontId="80" fillId="0" borderId="0"/>
    <xf numFmtId="14" fontId="80" fillId="0" borderId="0"/>
    <xf numFmtId="14" fontId="80" fillId="0" borderId="0"/>
    <xf numFmtId="14" fontId="80" fillId="0" borderId="0"/>
    <xf numFmtId="0" fontId="28" fillId="0" borderId="0"/>
    <xf numFmtId="0" fontId="28" fillId="0" borderId="0"/>
    <xf numFmtId="247" fontId="28" fillId="0" borderId="0"/>
    <xf numFmtId="0" fontId="23" fillId="0" borderId="0"/>
    <xf numFmtId="0" fontId="28" fillId="0" borderId="0"/>
    <xf numFmtId="247" fontId="28" fillId="0" borderId="0"/>
    <xf numFmtId="0" fontId="28" fillId="0" borderId="0"/>
    <xf numFmtId="0" fontId="23" fillId="0" borderId="0"/>
    <xf numFmtId="0" fontId="28" fillId="0" borderId="0"/>
    <xf numFmtId="0" fontId="28" fillId="0" borderId="0"/>
    <xf numFmtId="0" fontId="28" fillId="0" borderId="0"/>
    <xf numFmtId="248" fontId="28" fillId="0" borderId="0"/>
    <xf numFmtId="0" fontId="23" fillId="0" borderId="0"/>
    <xf numFmtId="0" fontId="28" fillId="0" borderId="0"/>
    <xf numFmtId="242" fontId="28" fillId="0" borderId="0"/>
    <xf numFmtId="0" fontId="23" fillId="0" borderId="0"/>
    <xf numFmtId="0" fontId="28" fillId="0" borderId="0"/>
    <xf numFmtId="0" fontId="28" fillId="0" borderId="0"/>
    <xf numFmtId="0" fontId="204" fillId="0" borderId="0"/>
    <xf numFmtId="0" fontId="28" fillId="0" borderId="0"/>
    <xf numFmtId="248" fontId="28" fillId="0" borderId="0"/>
    <xf numFmtId="0" fontId="23" fillId="0" borderId="0"/>
    <xf numFmtId="0" fontId="28" fillId="0" borderId="0"/>
    <xf numFmtId="242" fontId="28" fillId="0" borderId="0"/>
    <xf numFmtId="0" fontId="23" fillId="0" borderId="0"/>
    <xf numFmtId="0" fontId="28" fillId="0" borderId="0"/>
    <xf numFmtId="0" fontId="28" fillId="0" borderId="0"/>
    <xf numFmtId="0" fontId="23" fillId="0" borderId="0"/>
    <xf numFmtId="0" fontId="28" fillId="0" borderId="0"/>
    <xf numFmtId="249" fontId="28" fillId="0" borderId="0"/>
    <xf numFmtId="249" fontId="28" fillId="0" borderId="0"/>
    <xf numFmtId="198" fontId="23" fillId="0" borderId="0"/>
    <xf numFmtId="0" fontId="28" fillId="0" borderId="0"/>
    <xf numFmtId="0" fontId="204" fillId="0" borderId="0"/>
    <xf numFmtId="0" fontId="204" fillId="0" borderId="0"/>
    <xf numFmtId="14" fontId="80" fillId="0" borderId="0"/>
    <xf numFmtId="14" fontId="80" fillId="0" borderId="0"/>
    <xf numFmtId="14" fontId="80" fillId="0" borderId="0"/>
    <xf numFmtId="14" fontId="80" fillId="0" borderId="0"/>
    <xf numFmtId="0" fontId="28" fillId="0" borderId="0"/>
    <xf numFmtId="0" fontId="23" fillId="0" borderId="0"/>
    <xf numFmtId="198" fontId="23" fillId="0" borderId="0"/>
    <xf numFmtId="0" fontId="28" fillId="0" borderId="0"/>
    <xf numFmtId="0" fontId="28" fillId="0" borderId="0"/>
    <xf numFmtId="249" fontId="28" fillId="0" borderId="0"/>
    <xf numFmtId="249" fontId="28" fillId="0" borderId="0"/>
    <xf numFmtId="0" fontId="28" fillId="0" borderId="0"/>
    <xf numFmtId="250" fontId="28" fillId="0" borderId="0"/>
    <xf numFmtId="0" fontId="23" fillId="0" borderId="0"/>
    <xf numFmtId="250" fontId="28" fillId="0" borderId="0"/>
    <xf numFmtId="0" fontId="28" fillId="0" borderId="0"/>
    <xf numFmtId="251" fontId="28" fillId="0" borderId="0"/>
    <xf numFmtId="0" fontId="23" fillId="0" borderId="0"/>
    <xf numFmtId="0" fontId="23" fillId="0" borderId="0"/>
    <xf numFmtId="0" fontId="23" fillId="0" borderId="0"/>
    <xf numFmtId="251" fontId="28" fillId="0" borderId="0"/>
    <xf numFmtId="0" fontId="28" fillId="0" borderId="0"/>
    <xf numFmtId="0" fontId="23" fillId="0" borderId="0"/>
    <xf numFmtId="250" fontId="28" fillId="0" borderId="0"/>
    <xf numFmtId="0" fontId="28" fillId="0" borderId="0"/>
    <xf numFmtId="250" fontId="28" fillId="0" borderId="0"/>
    <xf numFmtId="0" fontId="23" fillId="0" borderId="0"/>
    <xf numFmtId="0" fontId="28" fillId="0" borderId="0"/>
    <xf numFmtId="0" fontId="28" fillId="0" borderId="0"/>
    <xf numFmtId="252" fontId="28" fillId="0" borderId="0"/>
    <xf numFmtId="0" fontId="28" fillId="0" borderId="0"/>
    <xf numFmtId="0" fontId="23" fillId="0" borderId="0"/>
    <xf numFmtId="0" fontId="28" fillId="0" borderId="0"/>
    <xf numFmtId="251" fontId="28" fillId="0" borderId="0"/>
    <xf numFmtId="0"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0" fontId="28" fillId="0" borderId="0"/>
    <xf numFmtId="0" fontId="28" fillId="0" borderId="0"/>
    <xf numFmtId="254" fontId="28" fillId="0" borderId="0"/>
    <xf numFmtId="254"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251" fontId="28" fillId="0" borderId="0"/>
    <xf numFmtId="251"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0" fontId="28" fillId="0" borderId="0"/>
    <xf numFmtId="252" fontId="28" fillId="0" borderId="0"/>
    <xf numFmtId="0" fontId="23" fillId="0" borderId="0"/>
    <xf numFmtId="0" fontId="28" fillId="0" borderId="0"/>
    <xf numFmtId="0" fontId="28" fillId="0" borderId="0"/>
    <xf numFmtId="248" fontId="28" fillId="0" borderId="0"/>
    <xf numFmtId="0" fontId="23" fillId="0" borderId="0"/>
    <xf numFmtId="0" fontId="28" fillId="0" borderId="0"/>
    <xf numFmtId="0" fontId="206" fillId="0" borderId="0" applyProtection="0">
      <alignment horizontal="left"/>
    </xf>
    <xf numFmtId="0" fontId="206" fillId="0" borderId="0" applyFill="0" applyBorder="0" applyProtection="0">
      <alignment horizontal="left"/>
    </xf>
    <xf numFmtId="0" fontId="207" fillId="0" borderId="0" applyFill="0" applyBorder="0" applyProtection="0">
      <alignment horizontal="left"/>
    </xf>
    <xf numFmtId="1" fontId="23" fillId="0" borderId="0" applyProtection="0">
      <alignment horizontal="right" vertical="center"/>
    </xf>
    <xf numFmtId="0" fontId="79" fillId="0" borderId="0" applyNumberFormat="0" applyFill="0" applyBorder="0" applyAlignment="0" applyProtection="0"/>
    <xf numFmtId="49" fontId="208" fillId="0" borderId="23" applyFill="0" applyProtection="0">
      <alignment vertical="center"/>
    </xf>
    <xf numFmtId="0" fontId="47" fillId="0" borderId="0"/>
    <xf numFmtId="0" fontId="65" fillId="0" borderId="0"/>
    <xf numFmtId="0" fontId="132" fillId="0" borderId="0"/>
    <xf numFmtId="14" fontId="89" fillId="0" borderId="0">
      <alignment horizontal="center" wrapText="1"/>
      <protection locked="0"/>
    </xf>
    <xf numFmtId="164" fontId="89" fillId="0" borderId="0">
      <alignment horizontal="right"/>
    </xf>
    <xf numFmtId="0" fontId="54"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164" fontId="124" fillId="0" borderId="0"/>
    <xf numFmtId="0" fontId="23" fillId="0" borderId="0" applyFill="0" applyBorder="0" applyAlignment="0" applyProtection="0"/>
    <xf numFmtId="10" fontId="23" fillId="0" borderId="0" applyFill="0" applyBorder="0" applyAlignment="0" applyProtection="0"/>
    <xf numFmtId="9" fontId="48" fillId="0" borderId="24"/>
    <xf numFmtId="9" fontId="48" fillId="0" borderId="24"/>
    <xf numFmtId="0" fontId="23" fillId="0" borderId="0" applyFont="0" applyFill="0" applyBorder="0" applyAlignment="0" applyProtection="0"/>
    <xf numFmtId="0" fontId="47" fillId="0" borderId="0" applyFont="0" applyFill="0" applyBorder="0" applyAlignment="0"/>
    <xf numFmtId="0" fontId="78" fillId="0" borderId="0" applyFont="0" applyFill="0" applyBorder="0" applyAlignment="0" applyProtection="0"/>
    <xf numFmtId="164" fontId="78" fillId="0" borderId="0" applyFont="0" applyFill="0" applyBorder="0" applyAlignment="0" applyProtection="0"/>
    <xf numFmtId="10" fontId="23" fillId="0" borderId="0" applyFont="0" applyFill="0" applyBorder="0" applyAlignment="0" applyProtection="0"/>
    <xf numFmtId="10" fontId="23" fillId="0" borderId="0" applyFont="0" applyFill="0" applyBorder="0" applyAlignment="0" applyProtection="0"/>
    <xf numFmtId="10" fontId="23" fillId="0" borderId="0" applyFont="0" applyFill="0" applyBorder="0" applyAlignment="0" applyProtection="0"/>
    <xf numFmtId="10" fontId="23" fillId="0" borderId="0" applyFont="0" applyFill="0" applyBorder="0" applyAlignment="0" applyProtection="0"/>
    <xf numFmtId="10" fontId="48" fillId="0" borderId="24"/>
    <xf numFmtId="10" fontId="48" fillId="0" borderId="24"/>
    <xf numFmtId="10" fontId="40" fillId="0" borderId="0"/>
    <xf numFmtId="0" fontId="23" fillId="0" borderId="0" applyFont="0" applyFill="0" applyBorder="0" applyAlignment="0" applyProtection="0"/>
    <xf numFmtId="0" fontId="54"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0" fontId="48" fillId="0" borderId="0" applyFont="0" applyFill="0" applyBorder="0" applyAlignment="0" applyProtection="0">
      <protection locked="0"/>
    </xf>
    <xf numFmtId="0" fontId="21" fillId="0" borderId="0" applyFont="0" applyFill="0" applyBorder="0" applyAlignment="0" applyProtection="0"/>
    <xf numFmtId="0" fontId="48" fillId="0" borderId="0" applyFont="0" applyFill="0" applyBorder="0" applyAlignment="0" applyProtection="0">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xf numFmtId="9" fontId="23" fillId="0" borderId="0" applyFont="0" applyFill="0" applyBorder="0" applyAlignment="0" applyProtection="0"/>
    <xf numFmtId="9" fontId="23" fillId="0" borderId="0" applyFont="0" applyFill="0" applyBorder="0" applyAlignment="0" applyProtection="0"/>
    <xf numFmtId="9" fontId="23" fillId="0" borderId="0"/>
    <xf numFmtId="9" fontId="2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18" fillId="0" borderId="0" applyFont="0" applyFill="0" applyBorder="0" applyAlignment="0" applyProtection="0"/>
    <xf numFmtId="9" fontId="1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xf numFmtId="9" fontId="11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255" fontId="110" fillId="0" borderId="0" applyFill="0" applyBorder="0" applyProtection="0">
      <alignment horizontal="right"/>
    </xf>
    <xf numFmtId="0" fontId="23" fillId="0" borderId="0" applyFont="0" applyFill="0" applyBorder="0" applyProtection="0">
      <alignment horizontal="right"/>
    </xf>
    <xf numFmtId="10" fontId="95" fillId="0" borderId="0">
      <alignment horizontal="center"/>
      <protection locked="0"/>
    </xf>
    <xf numFmtId="164" fontId="63" fillId="0" borderId="0"/>
    <xf numFmtId="164" fontId="97" fillId="0" borderId="0"/>
    <xf numFmtId="10" fontId="89" fillId="0" borderId="0"/>
    <xf numFmtId="10" fontId="97" fillId="0" borderId="0">
      <protection locked="0"/>
    </xf>
    <xf numFmtId="9" fontId="23" fillId="0" borderId="0"/>
    <xf numFmtId="0" fontId="28" fillId="0" borderId="0" applyFill="0" applyBorder="0">
      <alignment horizontal="right"/>
      <protection locked="0"/>
    </xf>
    <xf numFmtId="0" fontId="64" fillId="0" borderId="0" applyFont="0" applyFill="0" applyBorder="0" applyAlignment="0" applyProtection="0"/>
    <xf numFmtId="0" fontId="63" fillId="0" borderId="0" applyFill="0" applyBorder="0" applyProtection="0"/>
    <xf numFmtId="6" fontId="23" fillId="0" borderId="0">
      <protection locked="0"/>
    </xf>
    <xf numFmtId="0" fontId="209" fillId="0" borderId="0">
      <protection locked="0"/>
    </xf>
    <xf numFmtId="0" fontId="23" fillId="0" borderId="0">
      <protection locked="0"/>
    </xf>
    <xf numFmtId="0" fontId="49" fillId="0" borderId="0" applyNumberFormat="0" applyFont="0" applyAlignment="0">
      <alignment horizontal="center"/>
    </xf>
    <xf numFmtId="0" fontId="23" fillId="0" borderId="0"/>
    <xf numFmtId="0" fontId="89" fillId="0" borderId="0" applyProtection="0">
      <alignment horizontal="right"/>
    </xf>
    <xf numFmtId="0" fontId="97" fillId="0" borderId="0">
      <alignment horizontal="right"/>
      <protection locked="0"/>
    </xf>
    <xf numFmtId="37" fontId="40" fillId="48" borderId="0" applyNumberFormat="0" applyFont="0" applyFill="0" applyBorder="0" applyAlignment="0" applyProtection="0"/>
    <xf numFmtId="0" fontId="210" fillId="74" borderId="0">
      <alignment horizontal="left" indent="1"/>
    </xf>
    <xf numFmtId="0" fontId="211" fillId="0" borderId="0"/>
    <xf numFmtId="0" fontId="211" fillId="0" borderId="66">
      <alignment horizontal="right"/>
    </xf>
    <xf numFmtId="0" fontId="211" fillId="0" borderId="66">
      <alignment horizontal="right"/>
    </xf>
    <xf numFmtId="0" fontId="211" fillId="0" borderId="0"/>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15" fontId="27" fillId="0" borderId="0" applyFont="0" applyFill="0" applyBorder="0" applyAlignment="0" applyProtection="0"/>
    <xf numFmtId="15" fontId="27" fillId="0" borderId="0" applyFont="0" applyFill="0" applyBorder="0" applyAlignment="0" applyProtection="0"/>
    <xf numFmtId="4" fontId="27" fillId="0" borderId="0" applyFont="0" applyFill="0" applyBorder="0" applyAlignment="0" applyProtection="0"/>
    <xf numFmtId="4" fontId="27" fillId="0" borderId="0" applyFont="0" applyFill="0" applyBorder="0" applyAlignment="0" applyProtection="0"/>
    <xf numFmtId="0" fontId="53" fillId="0" borderId="10">
      <alignment horizontal="center"/>
    </xf>
    <xf numFmtId="0" fontId="53" fillId="0" borderId="10">
      <alignment horizontal="center"/>
    </xf>
    <xf numFmtId="0" fontId="53" fillId="0" borderId="10">
      <alignment horizontal="center"/>
    </xf>
    <xf numFmtId="0" fontId="53" fillId="0" borderId="10">
      <alignment horizontal="center"/>
    </xf>
    <xf numFmtId="3" fontId="27" fillId="0" borderId="0" applyFont="0" applyFill="0" applyBorder="0" applyAlignment="0" applyProtection="0"/>
    <xf numFmtId="3" fontId="27" fillId="0" borderId="0" applyFont="0" applyFill="0" applyBorder="0" applyAlignment="0" applyProtection="0"/>
    <xf numFmtId="0" fontId="27" fillId="38" borderId="0" applyNumberFormat="0" applyFont="0" applyBorder="0" applyAlignment="0" applyProtection="0"/>
    <xf numFmtId="0" fontId="27" fillId="38" borderId="0" applyNumberFormat="0" applyFont="0" applyBorder="0" applyAlignment="0" applyProtection="0"/>
    <xf numFmtId="0" fontId="65" fillId="34" borderId="0"/>
    <xf numFmtId="0" fontId="65" fillId="34" borderId="0"/>
    <xf numFmtId="0" fontId="65" fillId="34" borderId="0"/>
    <xf numFmtId="0" fontId="65" fillId="34" borderId="0"/>
    <xf numFmtId="0" fontId="65" fillId="34" borderId="0"/>
    <xf numFmtId="0" fontId="65" fillId="34" borderId="0"/>
    <xf numFmtId="0" fontId="65" fillId="34" borderId="0"/>
    <xf numFmtId="0" fontId="65" fillId="34" borderId="0"/>
    <xf numFmtId="0" fontId="65" fillId="34" borderId="0"/>
    <xf numFmtId="0" fontId="65" fillId="34" borderId="0"/>
    <xf numFmtId="0" fontId="134" fillId="34" borderId="0"/>
    <xf numFmtId="0" fontId="212" fillId="0" borderId="0">
      <alignment horizontal="center"/>
    </xf>
    <xf numFmtId="0" fontId="65" fillId="0" borderId="23">
      <alignment horizontal="centerContinuous"/>
    </xf>
    <xf numFmtId="1" fontId="23" fillId="0" borderId="67" applyNumberFormat="0" applyFill="0" applyAlignment="0" applyProtection="0">
      <alignment horizontal="center" vertical="center"/>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132" fillId="0" borderId="0">
      <alignment horizontal="center"/>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132" fillId="34" borderId="31">
      <alignment horizontal="right"/>
    </xf>
    <xf numFmtId="195" fontId="110" fillId="0" borderId="0" applyFill="0" applyBorder="0" applyProtection="0">
      <alignment horizontal="right"/>
    </xf>
    <xf numFmtId="256" fontId="110" fillId="0" borderId="0" applyFill="0" applyBorder="0" applyProtection="0">
      <alignment horizontal="right"/>
    </xf>
    <xf numFmtId="257" fontId="110" fillId="0" borderId="0" applyFill="0" applyBorder="0" applyProtection="0">
      <alignment horizontal="right"/>
    </xf>
    <xf numFmtId="0" fontId="28" fillId="0" borderId="0">
      <alignment horizontal="right"/>
      <protection locked="0"/>
    </xf>
    <xf numFmtId="0" fontId="213" fillId="0" borderId="0" applyNumberFormat="0" applyFill="0" applyBorder="0" applyAlignment="0" applyProtection="0"/>
    <xf numFmtId="0" fontId="214" fillId="0" borderId="0" applyNumberFormat="0" applyFill="0" applyBorder="0" applyAlignment="0" applyProtection="0">
      <alignment horizontal="left"/>
    </xf>
    <xf numFmtId="205" fontId="99" fillId="88" borderId="68" applyFont="0" applyBorder="0">
      <alignment horizontal="centerContinuous"/>
    </xf>
    <xf numFmtId="7" fontId="215" fillId="0" borderId="0"/>
    <xf numFmtId="37" fontId="214" fillId="0" borderId="0">
      <alignment horizontal="left"/>
    </xf>
    <xf numFmtId="164" fontId="215" fillId="0" borderId="0"/>
    <xf numFmtId="0" fontId="216" fillId="89" borderId="0" applyNumberFormat="0" applyFont="0" applyBorder="0" applyAlignment="0">
      <alignment horizontal="center"/>
    </xf>
    <xf numFmtId="0" fontId="28" fillId="0" borderId="0">
      <alignment horizontal="right"/>
    </xf>
    <xf numFmtId="0" fontId="130" fillId="0" borderId="0"/>
    <xf numFmtId="14" fontId="23" fillId="90" borderId="50" applyFont="0" applyAlignment="0">
      <protection locked="0"/>
    </xf>
    <xf numFmtId="37" fontId="217" fillId="0" borderId="0" applyNumberFormat="0" applyFill="0" applyBorder="0" applyAlignment="0" applyProtection="0"/>
    <xf numFmtId="14" fontId="63" fillId="0" borderId="0" applyNumberFormat="0" applyFill="0" applyBorder="0" applyAlignment="0" applyProtection="0">
      <alignment horizontal="left"/>
    </xf>
    <xf numFmtId="0" fontId="173" fillId="0" borderId="0" applyNumberFormat="0" applyFill="0" applyBorder="0" applyProtection="0">
      <alignment horizontal="right" vertical="center"/>
    </xf>
    <xf numFmtId="0" fontId="151" fillId="0" borderId="0">
      <alignment horizontal="right"/>
    </xf>
    <xf numFmtId="14" fontId="23" fillId="91" borderId="50" applyFont="0" applyAlignment="0"/>
    <xf numFmtId="0" fontId="115" fillId="0" borderId="0" applyNumberFormat="0" applyFill="0" applyBorder="0"/>
    <xf numFmtId="0" fontId="23" fillId="0" borderId="69">
      <alignment vertical="center"/>
    </xf>
    <xf numFmtId="4" fontId="25" fillId="92" borderId="65" applyNumberFormat="0" applyProtection="0">
      <alignment vertical="center"/>
    </xf>
    <xf numFmtId="4" fontId="25" fillId="92" borderId="65" applyNumberFormat="0" applyProtection="0">
      <alignment vertical="center"/>
    </xf>
    <xf numFmtId="4" fontId="218" fillId="92" borderId="65" applyNumberFormat="0" applyProtection="0">
      <alignment vertical="center"/>
    </xf>
    <xf numFmtId="4" fontId="218" fillId="92" borderId="65" applyNumberFormat="0" applyProtection="0">
      <alignment vertical="center"/>
    </xf>
    <xf numFmtId="4" fontId="25" fillId="92" borderId="65" applyNumberFormat="0" applyProtection="0">
      <alignment horizontal="left" vertical="center" indent="1"/>
    </xf>
    <xf numFmtId="4" fontId="25" fillId="92" borderId="65" applyNumberFormat="0" applyProtection="0">
      <alignment horizontal="left" vertical="center" indent="1"/>
    </xf>
    <xf numFmtId="4" fontId="25" fillId="92" borderId="65" applyNumberFormat="0" applyProtection="0">
      <alignment horizontal="left" vertical="center" indent="1"/>
    </xf>
    <xf numFmtId="4" fontId="25" fillId="92" borderId="65" applyNumberFormat="0" applyProtection="0">
      <alignment horizontal="left" vertical="center" indent="1"/>
    </xf>
    <xf numFmtId="0" fontId="23" fillId="51" borderId="65" applyNumberFormat="0" applyProtection="0">
      <alignment horizontal="left" vertical="center" indent="1"/>
    </xf>
    <xf numFmtId="0" fontId="23" fillId="51" borderId="65" applyNumberFormat="0" applyProtection="0">
      <alignment horizontal="left" vertical="center" indent="1"/>
    </xf>
    <xf numFmtId="4" fontId="25" fillId="69" borderId="65" applyNumberFormat="0" applyProtection="0">
      <alignment horizontal="right" vertical="center"/>
    </xf>
    <xf numFmtId="4" fontId="25" fillId="69" borderId="65" applyNumberFormat="0" applyProtection="0">
      <alignment horizontal="right" vertical="center"/>
    </xf>
    <xf numFmtId="4" fontId="25" fillId="93" borderId="65" applyNumberFormat="0" applyProtection="0">
      <alignment horizontal="right" vertical="center"/>
    </xf>
    <xf numFmtId="4" fontId="25" fillId="93" borderId="65" applyNumberFormat="0" applyProtection="0">
      <alignment horizontal="right" vertical="center"/>
    </xf>
    <xf numFmtId="4" fontId="25" fillId="88" borderId="65" applyNumberFormat="0" applyProtection="0">
      <alignment horizontal="right" vertical="center"/>
    </xf>
    <xf numFmtId="4" fontId="25" fillId="88" borderId="65" applyNumberFormat="0" applyProtection="0">
      <alignment horizontal="right" vertical="center"/>
    </xf>
    <xf numFmtId="4" fontId="25" fillId="94" borderId="65" applyNumberFormat="0" applyProtection="0">
      <alignment horizontal="right" vertical="center"/>
    </xf>
    <xf numFmtId="4" fontId="25" fillId="94" borderId="65" applyNumberFormat="0" applyProtection="0">
      <alignment horizontal="right" vertical="center"/>
    </xf>
    <xf numFmtId="4" fontId="25" fillId="95" borderId="65" applyNumberFormat="0" applyProtection="0">
      <alignment horizontal="right" vertical="center"/>
    </xf>
    <xf numFmtId="4" fontId="25" fillId="95" borderId="65" applyNumberFormat="0" applyProtection="0">
      <alignment horizontal="right" vertical="center"/>
    </xf>
    <xf numFmtId="4" fontId="25" fillId="96" borderId="65" applyNumberFormat="0" applyProtection="0">
      <alignment horizontal="right" vertical="center"/>
    </xf>
    <xf numFmtId="4" fontId="25" fillId="96" borderId="65" applyNumberFormat="0" applyProtection="0">
      <alignment horizontal="right" vertical="center"/>
    </xf>
    <xf numFmtId="4" fontId="25" fillId="97" borderId="65" applyNumberFormat="0" applyProtection="0">
      <alignment horizontal="right" vertical="center"/>
    </xf>
    <xf numFmtId="4" fontId="25" fillId="97" borderId="65" applyNumberFormat="0" applyProtection="0">
      <alignment horizontal="right" vertical="center"/>
    </xf>
    <xf numFmtId="4" fontId="25" fillId="98" borderId="65" applyNumberFormat="0" applyProtection="0">
      <alignment horizontal="right" vertical="center"/>
    </xf>
    <xf numFmtId="4" fontId="25" fillId="98" borderId="65" applyNumberFormat="0" applyProtection="0">
      <alignment horizontal="right" vertical="center"/>
    </xf>
    <xf numFmtId="4" fontId="25" fillId="99" borderId="65" applyNumberFormat="0" applyProtection="0">
      <alignment horizontal="right" vertical="center"/>
    </xf>
    <xf numFmtId="4" fontId="25" fillId="99" borderId="65" applyNumberFormat="0" applyProtection="0">
      <alignment horizontal="right" vertical="center"/>
    </xf>
    <xf numFmtId="4" fontId="55" fillId="100" borderId="65" applyNumberFormat="0" applyProtection="0">
      <alignment horizontal="left" vertical="center" indent="1"/>
    </xf>
    <xf numFmtId="4" fontId="55" fillId="100" borderId="65" applyNumberFormat="0" applyProtection="0">
      <alignment horizontal="left" vertical="center" indent="1"/>
    </xf>
    <xf numFmtId="4" fontId="25" fillId="101" borderId="70" applyNumberFormat="0" applyProtection="0">
      <alignment horizontal="left" vertical="center" indent="1"/>
    </xf>
    <xf numFmtId="4" fontId="219" fillId="102" borderId="0"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4" fontId="25" fillId="101" borderId="65" applyNumberFormat="0" applyProtection="0">
      <alignment horizontal="left" vertical="center" indent="1"/>
    </xf>
    <xf numFmtId="4" fontId="25" fillId="101" borderId="65" applyNumberFormat="0" applyProtection="0">
      <alignment horizontal="left" vertical="center" indent="1"/>
    </xf>
    <xf numFmtId="4" fontId="25" fillId="51" borderId="65" applyNumberFormat="0" applyProtection="0">
      <alignment horizontal="left" vertical="center" indent="1"/>
    </xf>
    <xf numFmtId="4" fontId="25" fillId="51" borderId="65" applyNumberFormat="0" applyProtection="0">
      <alignment horizontal="left" vertical="center" indent="1"/>
    </xf>
    <xf numFmtId="0" fontId="23" fillId="104" borderId="65" applyNumberFormat="0" applyProtection="0">
      <alignment horizontal="left" vertical="center" indent="1"/>
    </xf>
    <xf numFmtId="0" fontId="23" fillId="104" borderId="65" applyNumberFormat="0" applyProtection="0">
      <alignment horizontal="left" vertical="center" indent="1"/>
    </xf>
    <xf numFmtId="0" fontId="23" fillId="104" borderId="65" applyNumberFormat="0" applyProtection="0">
      <alignment horizontal="left" vertical="center" indent="1"/>
    </xf>
    <xf numFmtId="0" fontId="23" fillId="104" borderId="65" applyNumberFormat="0" applyProtection="0">
      <alignment horizontal="left" vertical="center" indent="1"/>
    </xf>
    <xf numFmtId="0" fontId="23" fillId="74" borderId="65" applyNumberFormat="0" applyProtection="0">
      <alignment horizontal="left" vertical="center" indent="1"/>
    </xf>
    <xf numFmtId="0" fontId="23" fillId="74" borderId="65" applyNumberFormat="0" applyProtection="0">
      <alignment horizontal="left" vertical="center" indent="1"/>
    </xf>
    <xf numFmtId="0" fontId="49" fillId="39" borderId="17" applyNumberFormat="0" applyProtection="0">
      <alignment horizontal="left" vertical="center" indent="1"/>
    </xf>
    <xf numFmtId="0" fontId="23" fillId="74" borderId="65" applyNumberFormat="0" applyProtection="0">
      <alignment horizontal="left" vertical="center" indent="1"/>
    </xf>
    <xf numFmtId="0" fontId="23" fillId="74" borderId="65" applyNumberFormat="0" applyProtection="0">
      <alignment horizontal="left" vertical="center" indent="1"/>
    </xf>
    <xf numFmtId="0" fontId="23" fillId="34" borderId="65" applyNumberFormat="0" applyProtection="0">
      <alignment horizontal="left" vertical="center" indent="1"/>
    </xf>
    <xf numFmtId="0" fontId="23" fillId="34" borderId="65" applyNumberFormat="0" applyProtection="0">
      <alignment horizontal="left" vertical="center" indent="1"/>
    </xf>
    <xf numFmtId="0" fontId="23" fillId="34" borderId="65" applyNumberFormat="0" applyProtection="0">
      <alignment horizontal="left" vertical="center" indent="1"/>
    </xf>
    <xf numFmtId="0" fontId="23" fillId="34"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4" fontId="25" fillId="36" borderId="65" applyNumberFormat="0" applyProtection="0">
      <alignment vertical="center"/>
    </xf>
    <xf numFmtId="4" fontId="25" fillId="36" borderId="65" applyNumberFormat="0" applyProtection="0">
      <alignment vertical="center"/>
    </xf>
    <xf numFmtId="4" fontId="218" fillId="36" borderId="65" applyNumberFormat="0" applyProtection="0">
      <alignment vertical="center"/>
    </xf>
    <xf numFmtId="4" fontId="218" fillId="36" borderId="65" applyNumberFormat="0" applyProtection="0">
      <alignment vertical="center"/>
    </xf>
    <xf numFmtId="4" fontId="25" fillId="36" borderId="65" applyNumberFormat="0" applyProtection="0">
      <alignment horizontal="left" vertical="center" indent="1"/>
    </xf>
    <xf numFmtId="4" fontId="25" fillId="36" borderId="65" applyNumberFormat="0" applyProtection="0">
      <alignment horizontal="left" vertical="center" indent="1"/>
    </xf>
    <xf numFmtId="4" fontId="25" fillId="36" borderId="65" applyNumberFormat="0" applyProtection="0">
      <alignment horizontal="left" vertical="center" indent="1"/>
    </xf>
    <xf numFmtId="4" fontId="25" fillId="36" borderId="65" applyNumberFormat="0" applyProtection="0">
      <alignment horizontal="left" vertical="center" indent="1"/>
    </xf>
    <xf numFmtId="4" fontId="25" fillId="105" borderId="65" applyNumberFormat="0" applyProtection="0">
      <alignment horizontal="right" vertical="center"/>
    </xf>
    <xf numFmtId="4" fontId="25" fillId="105" borderId="65" applyNumberFormat="0" applyProtection="0">
      <alignment horizontal="right" vertical="center"/>
    </xf>
    <xf numFmtId="187" fontId="25" fillId="40" borderId="17" applyProtection="0">
      <alignment horizontal="right" vertical="center"/>
    </xf>
    <xf numFmtId="4" fontId="218" fillId="105" borderId="65" applyNumberFormat="0" applyProtection="0">
      <alignment horizontal="right" vertical="center"/>
    </xf>
    <xf numFmtId="4" fontId="218" fillId="105" borderId="65" applyNumberFormat="0" applyProtection="0">
      <alignment horizontal="right" vertical="center"/>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20" fillId="51" borderId="0" applyNumberFormat="0" applyProtection="0"/>
    <xf numFmtId="4" fontId="215" fillId="105" borderId="65" applyNumberFormat="0" applyProtection="0">
      <alignment horizontal="right" vertical="center"/>
    </xf>
    <xf numFmtId="4" fontId="215" fillId="105" borderId="65" applyNumberFormat="0" applyProtection="0">
      <alignment horizontal="right" vertical="center"/>
    </xf>
    <xf numFmtId="0" fontId="176" fillId="0" borderId="10">
      <alignment horizontal="right"/>
    </xf>
    <xf numFmtId="0" fontId="221" fillId="0" borderId="71"/>
    <xf numFmtId="0" fontId="28" fillId="0" borderId="0" applyFill="0" applyBorder="0">
      <alignment horizontal="right"/>
      <protection hidden="1"/>
    </xf>
    <xf numFmtId="0" fontId="48" fillId="0" borderId="0" applyFill="0" applyBorder="0" applyProtection="0">
      <alignment horizontal="left"/>
    </xf>
    <xf numFmtId="0" fontId="23" fillId="78" borderId="18">
      <alignment horizontal="center" vertical="center" wrapText="1"/>
      <protection hidden="1"/>
    </xf>
    <xf numFmtId="0" fontId="23" fillId="34" borderId="0"/>
    <xf numFmtId="0" fontId="23" fillId="34" borderId="0"/>
    <xf numFmtId="0" fontId="28" fillId="106" borderId="0"/>
    <xf numFmtId="258" fontId="59" fillId="1" borderId="0" applyNumberFormat="0" applyFont="0" applyBorder="0" applyAlignment="0" applyProtection="0"/>
    <xf numFmtId="0" fontId="216" fillId="1" borderId="21" applyNumberFormat="0" applyFont="0" applyAlignment="0">
      <alignment horizontal="center"/>
    </xf>
    <xf numFmtId="0" fontId="28" fillId="0" borderId="0"/>
    <xf numFmtId="0" fontId="37" fillId="0" borderId="0">
      <alignment horizontal="center"/>
    </xf>
    <xf numFmtId="14" fontId="28" fillId="0" borderId="27">
      <alignment horizontal="centerContinuous"/>
    </xf>
    <xf numFmtId="0" fontId="222" fillId="0" borderId="0">
      <alignment horizontal="center"/>
    </xf>
    <xf numFmtId="0" fontId="104" fillId="0" borderId="0" applyFill="0" applyBorder="0" applyAlignment="0" applyProtection="0"/>
    <xf numFmtId="0" fontId="59" fillId="0" borderId="23" applyNumberFormat="0" applyFill="0" applyAlignment="0" applyProtection="0"/>
    <xf numFmtId="0" fontId="63" fillId="0" borderId="0">
      <alignment horizontal="right"/>
    </xf>
    <xf numFmtId="49" fontId="63" fillId="0" borderId="0">
      <alignment horizontal="center"/>
    </xf>
    <xf numFmtId="0" fontId="223" fillId="0" borderId="0">
      <alignment horizontal="right"/>
    </xf>
    <xf numFmtId="0" fontId="63" fillId="0" borderId="0">
      <alignment horizontal="left"/>
    </xf>
    <xf numFmtId="0" fontId="224" fillId="0" borderId="0" applyNumberFormat="0" applyFill="0" applyBorder="0" applyAlignment="0">
      <alignment horizontal="center"/>
    </xf>
    <xf numFmtId="0" fontId="27" fillId="0" borderId="0"/>
    <xf numFmtId="0" fontId="23" fillId="107" borderId="0"/>
    <xf numFmtId="37" fontId="225" fillId="108" borderId="72">
      <alignment horizontal="right" vertical="center"/>
    </xf>
    <xf numFmtId="38" fontId="225" fillId="0" borderId="0">
      <alignment horizontal="right" vertical="center"/>
    </xf>
    <xf numFmtId="9" fontId="225" fillId="0" borderId="0">
      <alignment horizontal="right" vertical="center"/>
    </xf>
    <xf numFmtId="0" fontId="225" fillId="0" borderId="0"/>
    <xf numFmtId="0" fontId="23" fillId="0" borderId="0" applyNumberFormat="0"/>
    <xf numFmtId="0" fontId="23" fillId="0" borderId="0" applyNumberFormat="0"/>
    <xf numFmtId="0" fontId="23" fillId="0" borderId="0" applyNumberFormat="0"/>
    <xf numFmtId="12" fontId="110" fillId="0" borderId="0" applyFill="0" applyBorder="0" applyProtection="0">
      <alignment horizontal="right"/>
    </xf>
    <xf numFmtId="259" fontId="110" fillId="0" borderId="0" applyFill="0" applyBorder="0" applyProtection="0">
      <alignment horizontal="right"/>
    </xf>
    <xf numFmtId="0" fontId="47" fillId="109" borderId="0" applyNumberFormat="0" applyFont="0" applyBorder="0" applyAlignment="0">
      <protection hidden="1"/>
    </xf>
    <xf numFmtId="3" fontId="61" fillId="0" borderId="0"/>
    <xf numFmtId="0" fontId="23" fillId="0" borderId="0"/>
    <xf numFmtId="0" fontId="23" fillId="0" borderId="0"/>
    <xf numFmtId="0" fontId="25" fillId="0" borderId="0">
      <alignment vertical="top"/>
    </xf>
    <xf numFmtId="0" fontId="23" fillId="0" borderId="0"/>
    <xf numFmtId="0" fontId="115" fillId="0" borderId="66" applyNumberFormat="0" applyFill="0" applyProtection="0"/>
    <xf numFmtId="0" fontId="115" fillId="0" borderId="66" applyNumberFormat="0" applyFill="0" applyProtection="0"/>
    <xf numFmtId="0" fontId="49" fillId="0" borderId="0" applyNumberFormat="0" applyFill="0" applyBorder="0" applyProtection="0"/>
    <xf numFmtId="0" fontId="115" fillId="0" borderId="66" applyNumberFormat="0" applyFill="0" applyProtection="0">
      <alignment horizontal="center" wrapText="1"/>
    </xf>
    <xf numFmtId="0" fontId="115" fillId="0" borderId="66" applyNumberFormat="0" applyFill="0" applyProtection="0">
      <alignment horizontal="center" wrapText="1"/>
    </xf>
    <xf numFmtId="0" fontId="115" fillId="0" borderId="0" applyNumberFormat="0" applyFill="0" applyBorder="0" applyProtection="0">
      <alignment horizontal="center"/>
    </xf>
    <xf numFmtId="0" fontId="115" fillId="0" borderId="0" applyNumberFormat="0" applyFill="0" applyBorder="0" applyProtection="0"/>
    <xf numFmtId="0" fontId="23" fillId="0" borderId="0"/>
    <xf numFmtId="0" fontId="23" fillId="0" borderId="0"/>
    <xf numFmtId="0" fontId="47" fillId="0" borderId="0" applyNumberFormat="0" applyFill="0" applyBorder="0" applyProtection="0">
      <alignment horizontal="left" vertical="top" wrapText="1"/>
    </xf>
    <xf numFmtId="0" fontId="47" fillId="0" borderId="0" applyNumberFormat="0" applyFill="0" applyBorder="0" applyProtection="0">
      <alignment horizontal="right" vertical="top" wrapText="1"/>
    </xf>
    <xf numFmtId="0" fontId="47" fillId="0" borderId="0" applyNumberFormat="0" applyFill="0" applyBorder="0" applyProtection="0">
      <alignment horizontal="left" vertical="top"/>
    </xf>
    <xf numFmtId="0" fontId="47" fillId="0" borderId="0" applyNumberFormat="0" applyFill="0" applyBorder="0" applyProtection="0">
      <alignment horizontal="right" vertical="top"/>
    </xf>
    <xf numFmtId="3" fontId="47" fillId="0" borderId="0" applyFill="0" applyBorder="0" applyProtection="0">
      <alignment horizontal="right" vertical="top"/>
    </xf>
    <xf numFmtId="0" fontId="47" fillId="0" borderId="0" applyFill="0" applyBorder="0" applyProtection="0">
      <alignment horizontal="right" vertical="top"/>
    </xf>
    <xf numFmtId="0" fontId="47" fillId="0" borderId="0" applyNumberFormat="0" applyFill="0" applyBorder="0" applyProtection="0">
      <alignment horizontal="left" wrapText="1"/>
    </xf>
    <xf numFmtId="0" fontId="47" fillId="0" borderId="0" applyNumberFormat="0" applyFill="0" applyBorder="0" applyProtection="0">
      <alignment horizontal="right" wrapText="1"/>
    </xf>
    <xf numFmtId="0" fontId="47" fillId="0" borderId="0" applyNumberFormat="0" applyFill="0" applyBorder="0" applyProtection="0">
      <alignment horizontal="left"/>
    </xf>
    <xf numFmtId="0" fontId="23" fillId="0" borderId="0"/>
    <xf numFmtId="0" fontId="23" fillId="0" borderId="0"/>
    <xf numFmtId="0" fontId="47" fillId="0" borderId="0" applyNumberFormat="0" applyFill="0" applyBorder="0" applyProtection="0">
      <alignment horizontal="right"/>
    </xf>
    <xf numFmtId="0" fontId="47" fillId="0" borderId="0" applyNumberFormat="0" applyFill="0" applyBorder="0" applyProtection="0">
      <alignment horizontal="center" vertical="top" wrapText="1"/>
    </xf>
    <xf numFmtId="3" fontId="47" fillId="0" borderId="0" applyFill="0" applyBorder="0" applyProtection="0">
      <alignment horizontal="left"/>
    </xf>
    <xf numFmtId="4" fontId="47" fillId="0" borderId="0" applyFill="0" applyBorder="0" applyProtection="0">
      <alignment horizontal="left"/>
    </xf>
    <xf numFmtId="4" fontId="47" fillId="0" borderId="0" applyFill="0" applyBorder="0" applyProtection="0">
      <alignment horizontal="left"/>
    </xf>
    <xf numFmtId="1" fontId="47" fillId="0" borderId="0" applyFill="0" applyBorder="0" applyProtection="0">
      <alignment horizontal="left"/>
    </xf>
    <xf numFmtId="0" fontId="47" fillId="0" borderId="0" applyNumberFormat="0" applyFill="0" applyBorder="0" applyProtection="0">
      <alignment horizontal="center" wrapText="1"/>
    </xf>
    <xf numFmtId="0" fontId="115" fillId="0" borderId="0" applyNumberFormat="0" applyFill="0" applyBorder="0" applyProtection="0">
      <alignment horizontal="left" vertical="top" wrapText="1"/>
    </xf>
    <xf numFmtId="0" fontId="115" fillId="0" borderId="0" applyNumberFormat="0" applyFill="0" applyBorder="0" applyProtection="0">
      <alignment horizontal="left" wrapText="1"/>
    </xf>
    <xf numFmtId="0" fontId="115" fillId="0" borderId="0" applyNumberFormat="0" applyFill="0" applyBorder="0" applyProtection="0">
      <alignment horizontal="left"/>
    </xf>
    <xf numFmtId="0" fontId="23" fillId="0" borderId="0"/>
    <xf numFmtId="0" fontId="23" fillId="0" borderId="0"/>
    <xf numFmtId="0" fontId="115" fillId="0" borderId="0" applyNumberFormat="0" applyFill="0" applyBorder="0" applyProtection="0">
      <alignment horizontal="right" vertical="top" wrapText="1"/>
    </xf>
    <xf numFmtId="0" fontId="115" fillId="0" borderId="0" applyNumberFormat="0" applyFill="0" applyBorder="0" applyProtection="0">
      <alignment horizontal="right" wrapText="1"/>
    </xf>
    <xf numFmtId="0" fontId="115" fillId="0" borderId="0" applyNumberFormat="0" applyFill="0" applyBorder="0" applyProtection="0">
      <alignment horizontal="center" vertical="top" wrapText="1"/>
    </xf>
    <xf numFmtId="0" fontId="115" fillId="0" borderId="0" applyNumberFormat="0" applyFill="0" applyBorder="0" applyProtection="0">
      <alignment horizontal="center" wrapText="1"/>
    </xf>
    <xf numFmtId="0" fontId="226" fillId="0" borderId="0" applyNumberFormat="0" applyFill="0" applyBorder="0" applyProtection="0">
      <alignment horizontal="left" vertical="top" wrapText="1"/>
    </xf>
    <xf numFmtId="4" fontId="226" fillId="0" borderId="0" applyFill="0" applyBorder="0" applyProtection="0">
      <alignment horizontal="left" vertical="top" wrapText="1"/>
    </xf>
    <xf numFmtId="0" fontId="226" fillId="0" borderId="0" applyNumberFormat="0" applyFill="0" applyBorder="0" applyProtection="0">
      <alignment horizontal="left" wrapText="1"/>
    </xf>
    <xf numFmtId="0" fontId="226" fillId="0" borderId="0" applyNumberFormat="0" applyFill="0" applyBorder="0" applyProtection="0">
      <alignment horizontal="right" vertical="top" wrapText="1"/>
    </xf>
    <xf numFmtId="0" fontId="226" fillId="0" borderId="0" applyNumberFormat="0" applyFill="0" applyBorder="0" applyProtection="0">
      <alignment horizontal="right" wrapText="1"/>
    </xf>
    <xf numFmtId="0" fontId="226" fillId="0" borderId="0" applyNumberFormat="0" applyFill="0" applyBorder="0" applyProtection="0">
      <alignment horizontal="center" vertical="top" wrapText="1"/>
    </xf>
    <xf numFmtId="0" fontId="226" fillId="0" borderId="0" applyNumberFormat="0" applyFill="0" applyBorder="0" applyProtection="0">
      <alignment horizontal="center" wrapText="1"/>
    </xf>
    <xf numFmtId="0" fontId="115" fillId="0" borderId="23" applyNumberFormat="0" applyFill="0" applyProtection="0">
      <alignment horizontal="right" wrapText="1"/>
    </xf>
    <xf numFmtId="0" fontId="227" fillId="0" borderId="0" applyNumberFormat="0" applyFill="0" applyBorder="0" applyProtection="0">
      <alignment horizontal="left" vertical="top" wrapText="1"/>
    </xf>
    <xf numFmtId="0" fontId="227" fillId="0" borderId="0" applyNumberFormat="0" applyFill="0" applyBorder="0" applyProtection="0">
      <alignment horizontal="left" wrapText="1"/>
    </xf>
    <xf numFmtId="0" fontId="227" fillId="0" borderId="0" applyNumberFormat="0" applyFill="0" applyBorder="0" applyProtection="0">
      <alignment horizontal="right" vertical="top" wrapText="1"/>
    </xf>
    <xf numFmtId="0" fontId="227" fillId="0" borderId="0" applyNumberFormat="0" applyFill="0" applyBorder="0" applyProtection="0">
      <alignment horizontal="right" wrapText="1"/>
    </xf>
    <xf numFmtId="0" fontId="227" fillId="0" borderId="0" applyNumberFormat="0" applyFill="0" applyBorder="0" applyProtection="0">
      <alignment horizontal="center" vertical="top" wrapText="1"/>
    </xf>
    <xf numFmtId="0" fontId="227" fillId="0" borderId="0" applyNumberFormat="0" applyFill="0" applyBorder="0" applyProtection="0">
      <alignment horizontal="center" wrapText="1"/>
    </xf>
    <xf numFmtId="0" fontId="112" fillId="0" borderId="0" applyNumberFormat="0" applyFill="0" applyBorder="0" applyProtection="0">
      <alignment horizontal="left" vertical="top" wrapText="1"/>
    </xf>
    <xf numFmtId="0" fontId="228" fillId="110" borderId="0" applyNumberFormat="0" applyBorder="0" applyProtection="0">
      <alignment horizontal="left" wrapText="1"/>
    </xf>
    <xf numFmtId="0" fontId="228" fillId="110" borderId="0" applyNumberFormat="0" applyBorder="0" applyProtection="0">
      <alignment horizontal="left"/>
    </xf>
    <xf numFmtId="0" fontId="228" fillId="110" borderId="0" applyNumberFormat="0" applyBorder="0" applyProtection="0">
      <alignment horizontal="right"/>
    </xf>
    <xf numFmtId="0" fontId="229" fillId="111" borderId="0" applyNumberFormat="0" applyBorder="0" applyProtection="0">
      <alignment vertical="top" wrapText="1"/>
    </xf>
    <xf numFmtId="0" fontId="229" fillId="111" borderId="0" applyBorder="0" applyProtection="0">
      <alignment vertical="top" wrapText="1"/>
    </xf>
    <xf numFmtId="4" fontId="47" fillId="0" borderId="0" applyFill="0" applyBorder="0" applyProtection="0">
      <alignment horizontal="left" vertical="top"/>
    </xf>
    <xf numFmtId="0" fontId="47" fillId="0" borderId="0" applyFill="0" applyBorder="0" applyProtection="0">
      <alignment horizontal="right"/>
    </xf>
    <xf numFmtId="3" fontId="47" fillId="0" borderId="0" applyFill="0" applyBorder="0" applyProtection="0">
      <alignment horizontal="right"/>
    </xf>
    <xf numFmtId="3" fontId="47" fillId="0" borderId="0" applyFill="0" applyBorder="0" applyProtection="0">
      <alignment horizontal="center"/>
    </xf>
    <xf numFmtId="0" fontId="47" fillId="0" borderId="0" applyFill="0" applyBorder="0" applyProtection="0">
      <alignment horizontal="right"/>
    </xf>
    <xf numFmtId="0" fontId="115" fillId="0" borderId="0" applyFill="0" applyBorder="0" applyProtection="0">
      <alignment horizontal="right"/>
    </xf>
    <xf numFmtId="0" fontId="227" fillId="0" borderId="0" applyFill="0" applyBorder="0" applyProtection="0">
      <alignment horizontal="right"/>
    </xf>
    <xf numFmtId="0" fontId="112" fillId="0" borderId="0" applyFill="0" applyBorder="0" applyProtection="0">
      <alignment horizontal="right"/>
    </xf>
    <xf numFmtId="4" fontId="115" fillId="0" borderId="0" applyFill="0" applyBorder="0" applyProtection="0">
      <alignment horizontal="right"/>
    </xf>
    <xf numFmtId="4" fontId="227" fillId="0" borderId="0" applyFill="0" applyBorder="0" applyProtection="0">
      <alignment horizontal="right"/>
    </xf>
    <xf numFmtId="4" fontId="112" fillId="0" borderId="0" applyFill="0" applyBorder="0" applyProtection="0">
      <alignment horizontal="right"/>
    </xf>
    <xf numFmtId="0" fontId="47" fillId="0" borderId="0" applyFill="0" applyBorder="0" applyProtection="0">
      <alignment horizontal="right" vertical="top" wrapText="1"/>
    </xf>
    <xf numFmtId="0" fontId="47" fillId="0" borderId="0" applyFill="0" applyBorder="0" applyProtection="0">
      <alignment horizontal="center" vertical="top" wrapText="1"/>
    </xf>
    <xf numFmtId="0" fontId="35" fillId="0" borderId="66" applyNumberFormat="0" applyFill="0" applyProtection="0">
      <alignment horizontal="left" vertical="top"/>
    </xf>
    <xf numFmtId="0" fontId="35" fillId="0" borderId="66" applyNumberFormat="0" applyFill="0" applyProtection="0">
      <alignment horizontal="left" vertical="top"/>
    </xf>
    <xf numFmtId="4" fontId="47" fillId="0" borderId="0" applyFill="0" applyBorder="0" applyProtection="0">
      <alignment horizontal="left"/>
    </xf>
    <xf numFmtId="4" fontId="47" fillId="0" borderId="0" applyFill="0" applyBorder="0" applyProtection="0">
      <alignment horizontal="right"/>
    </xf>
    <xf numFmtId="4" fontId="115" fillId="0" borderId="0" applyFill="0" applyBorder="0" applyProtection="0">
      <alignment horizontal="right"/>
    </xf>
    <xf numFmtId="4" fontId="47" fillId="0" borderId="0" applyFill="0" applyBorder="0" applyProtection="0">
      <alignment horizontal="center"/>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4" fontId="47" fillId="0" borderId="0" applyFill="0" applyBorder="0" applyProtection="0">
      <alignment horizontal="center"/>
    </xf>
    <xf numFmtId="0" fontId="47" fillId="0" borderId="0" applyFill="0" applyBorder="0" applyProtection="0">
      <alignment horizontal="center"/>
    </xf>
    <xf numFmtId="0" fontId="47" fillId="0" borderId="0" applyNumberFormat="0" applyFill="0" applyBorder="0" applyProtection="0">
      <alignment horizontal="left" vertical="top" wrapText="1"/>
    </xf>
    <xf numFmtId="0" fontId="169" fillId="0" borderId="0" applyFill="0" applyBorder="0" applyProtection="0">
      <alignment horizontal="right"/>
    </xf>
    <xf numFmtId="0" fontId="169" fillId="0" borderId="0" applyFill="0" applyBorder="0" applyProtection="0">
      <alignment horizontal="right"/>
    </xf>
    <xf numFmtId="0" fontId="169" fillId="0" borderId="0" applyFill="0" applyBorder="0" applyProtection="0">
      <alignment horizontal="right"/>
    </xf>
    <xf numFmtId="0" fontId="169" fillId="0" borderId="0" applyFill="0" applyBorder="0" applyProtection="0">
      <alignment horizontal="right"/>
    </xf>
    <xf numFmtId="0" fontId="169" fillId="0" borderId="0" applyFill="0" applyBorder="0" applyProtection="0">
      <alignment horizontal="right"/>
    </xf>
    <xf numFmtId="0" fontId="47" fillId="0" borderId="0" applyNumberFormat="0" applyFill="0" applyBorder="0" applyProtection="0">
      <alignment horizontal="left"/>
    </xf>
    <xf numFmtId="0" fontId="117" fillId="0" borderId="0" applyNumberFormat="0" applyBorder="0" applyAlignment="0"/>
    <xf numFmtId="0" fontId="55" fillId="42" borderId="0" applyNumberFormat="0" applyBorder="0" applyAlignment="0"/>
    <xf numFmtId="0" fontId="230" fillId="0" borderId="0" applyNumberFormat="0" applyBorder="0" applyAlignment="0"/>
    <xf numFmtId="0" fontId="55" fillId="0" borderId="0" applyNumberFormat="0" applyBorder="0" applyAlignment="0"/>
    <xf numFmtId="0" fontId="55" fillId="0" borderId="0" applyNumberFormat="0" applyBorder="0" applyAlignment="0"/>
    <xf numFmtId="0" fontId="220" fillId="0" borderId="0" applyNumberFormat="0" applyBorder="0" applyAlignment="0"/>
    <xf numFmtId="0" fontId="25" fillId="0" borderId="0" applyNumberFormat="0" applyBorder="0" applyAlignment="0"/>
    <xf numFmtId="0" fontId="25" fillId="0" borderId="0" applyNumberFormat="0" applyBorder="0" applyAlignment="0"/>
    <xf numFmtId="0" fontId="231" fillId="0" borderId="0" applyNumberFormat="0" applyBorder="0" applyAlignment="0"/>
    <xf numFmtId="0" fontId="219" fillId="0" borderId="0" applyNumberFormat="0" applyBorder="0" applyAlignment="0"/>
    <xf numFmtId="0" fontId="232" fillId="0" borderId="0" applyNumberFormat="0" applyBorder="0" applyAlignment="0"/>
    <xf numFmtId="0" fontId="232" fillId="0" borderId="0" applyNumberFormat="0" applyBorder="0" applyAlignment="0"/>
    <xf numFmtId="0" fontId="25" fillId="0" borderId="0" applyNumberFormat="0" applyBorder="0" applyAlignment="0"/>
    <xf numFmtId="0" fontId="233" fillId="0" borderId="0" applyNumberFormat="0" applyBorder="0" applyAlignment="0"/>
    <xf numFmtId="0" fontId="232" fillId="0" borderId="0" applyNumberFormat="0" applyBorder="0" applyAlignment="0"/>
    <xf numFmtId="0" fontId="232" fillId="0" borderId="0" applyNumberFormat="0" applyBorder="0" applyAlignment="0"/>
    <xf numFmtId="0" fontId="55" fillId="0" borderId="0" applyNumberFormat="0" applyBorder="0" applyAlignment="0"/>
    <xf numFmtId="0" fontId="234" fillId="0" borderId="0" applyNumberFormat="0" applyBorder="0" applyAlignment="0"/>
    <xf numFmtId="0" fontId="234" fillId="0" borderId="0" applyNumberFormat="0" applyBorder="0" applyAlignment="0"/>
    <xf numFmtId="0" fontId="233" fillId="0" borderId="0" applyNumberFormat="0" applyBorder="0" applyAlignment="0"/>
    <xf numFmtId="0" fontId="57" fillId="0" borderId="0" applyNumberFormat="0" applyBorder="0" applyAlignment="0"/>
    <xf numFmtId="0" fontId="95" fillId="0" borderId="0" applyNumberFormat="0" applyBorder="0" applyAlignment="0"/>
    <xf numFmtId="0" fontId="235" fillId="0" borderId="0" applyNumberFormat="0" applyFill="0" applyBorder="0" applyProtection="0">
      <alignment horizontal="left" vertical="center"/>
    </xf>
    <xf numFmtId="0" fontId="236" fillId="0" borderId="0"/>
    <xf numFmtId="0" fontId="23" fillId="0" borderId="0" applyNumberFormat="0"/>
    <xf numFmtId="40" fontId="237" fillId="0" borderId="0" applyBorder="0">
      <alignment horizontal="right"/>
    </xf>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3" fontId="238" fillId="0" borderId="0" applyBorder="0"/>
    <xf numFmtId="49" fontId="239" fillId="0" borderId="73" applyFill="0">
      <alignment horizontal="left"/>
    </xf>
    <xf numFmtId="0" fontId="130" fillId="0" borderId="47"/>
    <xf numFmtId="0" fontId="23" fillId="0" borderId="0">
      <alignment horizontal="left" indent="1"/>
    </xf>
    <xf numFmtId="0" fontId="240" fillId="0" borderId="0" applyFill="0" applyBorder="0" applyProtection="0">
      <alignment horizontal="center" vertical="center"/>
    </xf>
    <xf numFmtId="0" fontId="241" fillId="0" borderId="0" applyNumberFormat="0">
      <alignment horizontal="right"/>
    </xf>
    <xf numFmtId="0" fontId="23" fillId="0" borderId="0" applyBorder="0" applyProtection="0">
      <alignment vertical="center"/>
    </xf>
    <xf numFmtId="0" fontId="29" fillId="0" borderId="23" applyBorder="0" applyProtection="0">
      <alignment horizontal="right" vertical="center"/>
    </xf>
    <xf numFmtId="0" fontId="23" fillId="112" borderId="0" applyBorder="0" applyProtection="0">
      <alignment horizontal="centerContinuous" vertical="center"/>
    </xf>
    <xf numFmtId="0" fontId="23" fillId="84" borderId="23" applyBorder="0" applyProtection="0">
      <alignment horizontal="centerContinuous" vertical="center"/>
    </xf>
    <xf numFmtId="0" fontId="163" fillId="113" borderId="0">
      <alignment horizontal="centerContinuous" vertical="center" wrapText="1"/>
    </xf>
    <xf numFmtId="0" fontId="23" fillId="0" borderId="0" applyBorder="0" applyProtection="0">
      <alignment vertical="center"/>
    </xf>
    <xf numFmtId="0" fontId="115" fillId="0" borderId="0" applyBorder="0" applyProtection="0">
      <alignment horizontal="left"/>
    </xf>
    <xf numFmtId="0" fontId="163" fillId="0" borderId="74">
      <alignment horizontal="left" vertical="center"/>
    </xf>
    <xf numFmtId="0" fontId="240" fillId="0" borderId="0" applyFill="0" applyBorder="0" applyProtection="0"/>
    <xf numFmtId="0" fontId="23" fillId="0" borderId="0"/>
    <xf numFmtId="0" fontId="49" fillId="0" borderId="0" applyFill="0" applyBorder="0" applyProtection="0">
      <alignment horizontal="left"/>
    </xf>
    <xf numFmtId="0" fontId="242" fillId="0" borderId="0" applyFill="0" applyBorder="0" applyProtection="0">
      <alignment horizontal="left" vertical="top"/>
    </xf>
    <xf numFmtId="0" fontId="37" fillId="0" borderId="0">
      <alignment horizontal="centerContinuous"/>
    </xf>
    <xf numFmtId="0" fontId="117" fillId="67" borderId="75" applyNumberFormat="0" applyFont="0" applyFill="0" applyAlignment="0" applyProtection="0">
      <protection locked="0"/>
    </xf>
    <xf numFmtId="0" fontId="243" fillId="0" borderId="0" applyFill="0" applyBorder="0" applyProtection="0">
      <alignment vertical="top"/>
    </xf>
    <xf numFmtId="0" fontId="244" fillId="0" borderId="0"/>
    <xf numFmtId="49" fontId="245" fillId="0" borderId="0"/>
    <xf numFmtId="0" fontId="23" fillId="109" borderId="0" applyNumberFormat="0"/>
    <xf numFmtId="0" fontId="47" fillId="0" borderId="0"/>
    <xf numFmtId="0" fontId="23" fillId="99" borderId="0" applyNumberFormat="0" applyFont="0" applyBorder="0" applyAlignment="0" applyProtection="0"/>
    <xf numFmtId="49" fontId="246" fillId="0" borderId="23">
      <alignment vertical="center"/>
    </xf>
    <xf numFmtId="0" fontId="198" fillId="0" borderId="0" applyNumberFormat="0" applyFill="0" applyBorder="0"/>
    <xf numFmtId="0" fontId="23" fillId="0" borderId="0"/>
    <xf numFmtId="0" fontId="97" fillId="0" borderId="0">
      <alignment horizontal="left"/>
      <protection locked="0"/>
    </xf>
    <xf numFmtId="0" fontId="23" fillId="0" borderId="0"/>
    <xf numFmtId="0" fontId="64" fillId="0" borderId="0" applyNumberFormat="0" applyFont="0" applyFill="0" applyBorder="0" applyProtection="0">
      <alignment horizontal="left" vertical="top" wrapText="1"/>
    </xf>
    <xf numFmtId="0" fontId="198" fillId="0" borderId="0" applyNumberFormat="0" applyFill="0" applyBorder="0"/>
    <xf numFmtId="0" fontId="247" fillId="0" borderId="0"/>
    <xf numFmtId="0" fontId="248" fillId="0" borderId="0" applyFill="0" applyBorder="0" applyAlignment="0" applyProtection="0">
      <alignment horizontal="right"/>
    </xf>
    <xf numFmtId="0" fontId="23" fillId="0" borderId="0"/>
    <xf numFmtId="0" fontId="92" fillId="92" borderId="76" applyFont="0" applyFill="0" applyBorder="0" applyAlignment="0" applyProtection="0">
      <alignment horizontal="right"/>
    </xf>
    <xf numFmtId="0" fontId="23" fillId="0" borderId="0"/>
    <xf numFmtId="0" fontId="23" fillId="0" borderId="24"/>
    <xf numFmtId="0" fontId="23" fillId="0" borderId="24"/>
    <xf numFmtId="260" fontId="23" fillId="0" borderId="0"/>
    <xf numFmtId="0" fontId="23" fillId="0" borderId="0"/>
    <xf numFmtId="0" fontId="23" fillId="0" borderId="24"/>
    <xf numFmtId="0" fontId="23" fillId="0" borderId="24"/>
    <xf numFmtId="261" fontId="23" fillId="0" borderId="0"/>
    <xf numFmtId="0" fontId="28" fillId="0" borderId="0" applyNumberFormat="0" applyFill="0" applyBorder="0" applyAlignment="0" applyProtection="0"/>
    <xf numFmtId="0" fontId="78" fillId="0" borderId="0" applyNumberFormat="0" applyFill="0" applyBorder="0" applyAlignment="0" applyProtection="0"/>
    <xf numFmtId="0" fontId="249" fillId="86" borderId="0"/>
    <xf numFmtId="0" fontId="23" fillId="0" borderId="0" applyNumberFormat="0" applyFill="0" applyBorder="0" applyAlignment="0" applyProtection="0"/>
    <xf numFmtId="0" fontId="250" fillId="0" borderId="0"/>
    <xf numFmtId="0" fontId="251" fillId="0" borderId="0" applyNumberFormat="0" applyFill="0" applyBorder="0" applyAlignment="0" applyProtection="0"/>
    <xf numFmtId="0" fontId="19" fillId="0" borderId="0" applyNumberFormat="0" applyFill="0" applyBorder="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162" fillId="0" borderId="0">
      <alignment horizontal="left"/>
    </xf>
    <xf numFmtId="0" fontId="254" fillId="0" borderId="0">
      <alignment horizontal="left"/>
    </xf>
    <xf numFmtId="0" fontId="124" fillId="0" borderId="0">
      <alignment horizontal="left"/>
    </xf>
    <xf numFmtId="0" fontId="255" fillId="114" borderId="0" applyNumberFormat="0" applyBorder="0" applyProtection="0">
      <alignment horizontal="left" vertical="center"/>
    </xf>
    <xf numFmtId="0" fontId="178" fillId="0" borderId="0">
      <alignment horizontal="left" vertical="top"/>
    </xf>
    <xf numFmtId="0" fontId="37" fillId="0" borderId="0">
      <alignment horizontal="centerContinuous"/>
    </xf>
    <xf numFmtId="0" fontId="256" fillId="1" borderId="0" applyNumberFormat="0" applyBorder="0" applyProtection="0">
      <alignment horizontal="left" vertical="center"/>
    </xf>
    <xf numFmtId="0" fontId="254" fillId="0" borderId="0">
      <alignment horizontal="left"/>
    </xf>
    <xf numFmtId="0" fontId="257" fillId="0" borderId="77">
      <alignment horizontal="centerContinuous"/>
    </xf>
    <xf numFmtId="0" fontId="47" fillId="0" borderId="0">
      <alignment horizontal="left" indent="2"/>
    </xf>
    <xf numFmtId="0" fontId="124" fillId="0" borderId="0">
      <alignment horizontal="left"/>
    </xf>
    <xf numFmtId="0" fontId="244" fillId="0" borderId="0">
      <alignment horizontal="centerContinuous"/>
      <protection locked="0"/>
    </xf>
    <xf numFmtId="0" fontId="244" fillId="0" borderId="0">
      <alignment horizontal="left"/>
    </xf>
    <xf numFmtId="0" fontId="258" fillId="0" borderId="0">
      <alignment horizontal="center"/>
    </xf>
    <xf numFmtId="0" fontId="258" fillId="0" borderId="0">
      <alignment horizontal="left"/>
    </xf>
    <xf numFmtId="0" fontId="23" fillId="0" borderId="0" applyBorder="0"/>
    <xf numFmtId="0" fontId="23" fillId="0" borderId="0" applyNumberFormat="0" applyFill="0" applyBorder="0" applyAlignment="0" applyProtection="0"/>
    <xf numFmtId="0" fontId="240" fillId="0" borderId="0" applyNumberFormat="0" applyFill="0" applyBorder="0" applyAlignment="0" applyProtection="0"/>
    <xf numFmtId="0" fontId="23" fillId="0" borderId="0" applyBorder="0"/>
    <xf numFmtId="0" fontId="259" fillId="0" borderId="0"/>
    <xf numFmtId="0" fontId="62" fillId="0" borderId="0" applyFill="0" applyBorder="0" applyAlignment="0" applyProtection="0"/>
    <xf numFmtId="0" fontId="16" fillId="0" borderId="9" applyNumberFormat="0" applyFill="0" applyAlignment="0" applyProtection="0"/>
    <xf numFmtId="0" fontId="260" fillId="0" borderId="78" applyNumberFormat="0" applyFill="0" applyAlignment="0" applyProtection="0"/>
    <xf numFmtId="0" fontId="260" fillId="0" borderId="78" applyNumberFormat="0" applyFill="0" applyAlignment="0" applyProtection="0"/>
    <xf numFmtId="0" fontId="260" fillId="0" borderId="79" applyNumberFormat="0" applyFill="0" applyAlignment="0" applyProtection="0"/>
    <xf numFmtId="0" fontId="178" fillId="0" borderId="80"/>
    <xf numFmtId="0" fontId="178" fillId="0" borderId="47"/>
    <xf numFmtId="0" fontId="89" fillId="0" borderId="0">
      <alignment horizontal="right"/>
    </xf>
    <xf numFmtId="0" fontId="261" fillId="0" borderId="0">
      <alignment horizontal="left"/>
      <protection locked="0"/>
    </xf>
    <xf numFmtId="0" fontId="139" fillId="0" borderId="0"/>
    <xf numFmtId="0" fontId="80" fillId="0" borderId="0"/>
    <xf numFmtId="37" fontId="47" fillId="92" borderId="0" applyNumberFormat="0" applyBorder="0" applyAlignment="0" applyProtection="0"/>
    <xf numFmtId="37" fontId="47" fillId="0" borderId="0"/>
    <xf numFmtId="38" fontId="262" fillId="0" borderId="0" applyNumberFormat="0" applyBorder="0" applyAlignment="0">
      <protection locked="0"/>
    </xf>
    <xf numFmtId="0" fontId="117" fillId="0" borderId="0"/>
    <xf numFmtId="262" fontId="23" fillId="0" borderId="0" applyFont="0" applyFill="0" applyBorder="0" applyAlignment="0" applyProtection="0"/>
    <xf numFmtId="0" fontId="27" fillId="0" borderId="0" applyFont="0" applyFill="0" applyBorder="0" applyAlignment="0" applyProtection="0"/>
    <xf numFmtId="263"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14" fillId="0" borderId="0" applyNumberFormat="0" applyFill="0" applyBorder="0" applyAlignment="0" applyProtection="0"/>
    <xf numFmtId="0" fontId="263" fillId="0" borderId="0" applyNumberFormat="0" applyFill="0" applyBorder="0" applyAlignment="0" applyProtection="0"/>
    <xf numFmtId="0" fontId="182" fillId="0" borderId="0" applyNumberFormat="0" applyFill="0" applyBorder="0" applyAlignment="0" applyProtection="0"/>
    <xf numFmtId="0" fontId="264" fillId="0" borderId="0" applyNumberFormat="0" applyFill="0" applyBorder="0" applyAlignment="0" applyProtection="0"/>
    <xf numFmtId="0" fontId="23" fillId="0" borderId="0"/>
    <xf numFmtId="0" fontId="23" fillId="34" borderId="0">
      <alignment horizontal="center"/>
    </xf>
    <xf numFmtId="49" fontId="265" fillId="0" borderId="0" applyFill="0" applyBorder="0" applyAlignment="0" applyProtection="0"/>
    <xf numFmtId="1" fontId="176" fillId="0" borderId="0">
      <alignment horizontal="right"/>
    </xf>
    <xf numFmtId="0" fontId="80" fillId="0" borderId="0">
      <alignment horizontal="right"/>
    </xf>
    <xf numFmtId="1" fontId="176" fillId="0" borderId="0">
      <alignment horizontal="right"/>
    </xf>
    <xf numFmtId="49" fontId="63" fillId="0" borderId="73">
      <alignment horizontal="left"/>
    </xf>
    <xf numFmtId="0" fontId="258" fillId="0" borderId="73">
      <alignment horizontal="left"/>
    </xf>
    <xf numFmtId="0" fontId="162" fillId="0" borderId="0">
      <alignment horizontal="left" vertical="center"/>
    </xf>
    <xf numFmtId="49" fontId="63" fillId="0" borderId="73">
      <alignment horizontal="left"/>
    </xf>
    <xf numFmtId="0" fontId="28"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alignment horizontal="right"/>
    </xf>
    <xf numFmtId="0" fontId="23" fillId="0" borderId="0" applyFont="0" applyFill="0" applyBorder="0" applyProtection="0">
      <alignment horizontal="right"/>
    </xf>
    <xf numFmtId="1" fontId="266" fillId="0" borderId="0">
      <alignment horizontal="right"/>
    </xf>
    <xf numFmtId="0" fontId="198" fillId="115" borderId="81" applyNumberFormat="0" applyFont="0" applyBorder="0" applyAlignment="0" applyProtection="0">
      <alignment horizontal="right"/>
    </xf>
    <xf numFmtId="0" fontId="28" fillId="116" borderId="0" applyNumberFormat="0" applyFont="0" applyBorder="0" applyAlignment="0" applyProtection="0"/>
    <xf numFmtId="0" fontId="104" fillId="0" borderId="0" applyFont="0" applyFill="0" applyBorder="0" applyAlignment="0" applyProtection="0"/>
    <xf numFmtId="0" fontId="60" fillId="0" borderId="0"/>
    <xf numFmtId="0" fontId="60" fillId="0" borderId="0"/>
    <xf numFmtId="0" fontId="60" fillId="0" borderId="0"/>
    <xf numFmtId="0" fontId="23" fillId="0" borderId="0"/>
    <xf numFmtId="43" fontId="23"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18" fillId="0" borderId="0"/>
    <xf numFmtId="0" fontId="48" fillId="0" borderId="83">
      <alignment horizontal="left" vertical="center"/>
    </xf>
    <xf numFmtId="10" fontId="47" fillId="36" borderId="84" applyNumberFormat="0" applyBorder="0" applyAlignment="0" applyProtection="0"/>
    <xf numFmtId="10" fontId="47" fillId="36" borderId="84" applyNumberFormat="0" applyBorder="0" applyAlignment="0" applyProtection="0"/>
    <xf numFmtId="0" fontId="49" fillId="39" borderId="85" applyNumberFormat="0" applyProtection="0">
      <alignment horizontal="left" vertical="center" indent="1"/>
    </xf>
    <xf numFmtId="187" fontId="25" fillId="40" borderId="85" applyProtection="0">
      <alignment horizontal="right" vertical="center"/>
    </xf>
    <xf numFmtId="43" fontId="18" fillId="0" borderId="0" applyFont="0" applyFill="0" applyBorder="0" applyAlignment="0" applyProtection="0"/>
    <xf numFmtId="9" fontId="18" fillId="0" borderId="0" applyFont="0" applyFill="0" applyBorder="0" applyAlignment="0" applyProtection="0"/>
    <xf numFmtId="0" fontId="28" fillId="0" borderId="88" applyBorder="0"/>
    <xf numFmtId="0" fontId="18" fillId="0" borderId="0"/>
    <xf numFmtId="43" fontId="18" fillId="0" borderId="0" applyFont="0" applyFill="0" applyBorder="0" applyAlignment="0" applyProtection="0"/>
    <xf numFmtId="9" fontId="18" fillId="0" borderId="0" applyFont="0" applyFill="0" applyBorder="0" applyAlignment="0" applyProtection="0"/>
    <xf numFmtId="203" fontId="92" fillId="36" borderId="89"/>
    <xf numFmtId="203" fontId="92" fillId="36" borderId="89"/>
    <xf numFmtId="43" fontId="92" fillId="36" borderId="89"/>
    <xf numFmtId="43" fontId="92" fillId="36" borderId="89"/>
    <xf numFmtId="204" fontId="92" fillId="36" borderId="89"/>
    <xf numFmtId="204" fontId="92" fillId="36" borderId="89"/>
    <xf numFmtId="205" fontId="99" fillId="72" borderId="87" applyFont="0" applyBorder="0">
      <alignment horizontal="centerContinuous"/>
    </xf>
    <xf numFmtId="0" fontId="53" fillId="0" borderId="86" applyAlignment="0" applyProtection="0"/>
    <xf numFmtId="0" fontId="53" fillId="0" borderId="86" applyAlignment="0" applyProtection="0"/>
    <xf numFmtId="0" fontId="64" fillId="0" borderId="86" applyNumberFormat="0" applyFont="0" applyFill="0" applyAlignment="0" applyProtection="0"/>
    <xf numFmtId="0" fontId="64" fillId="0" borderId="86" applyNumberFormat="0" applyFont="0" applyFill="0" applyAlignment="0" applyProtection="0"/>
    <xf numFmtId="41" fontId="48" fillId="0" borderId="86"/>
    <xf numFmtId="41" fontId="48" fillId="0" borderId="86"/>
    <xf numFmtId="0" fontId="23" fillId="0" borderId="86"/>
    <xf numFmtId="0" fontId="23" fillId="0" borderId="86"/>
    <xf numFmtId="0" fontId="48" fillId="0" borderId="86"/>
    <xf numFmtId="0" fontId="48" fillId="0" borderId="86"/>
    <xf numFmtId="44" fontId="48" fillId="0" borderId="86"/>
    <xf numFmtId="44" fontId="48" fillId="0" borderId="86"/>
    <xf numFmtId="0" fontId="199" fillId="75" borderId="90" applyNumberFormat="0" applyAlignment="0" applyProtection="0"/>
    <xf numFmtId="0" fontId="199" fillId="75" borderId="90" applyNumberFormat="0" applyAlignment="0" applyProtection="0"/>
    <xf numFmtId="0" fontId="199" fillId="48" borderId="90" applyNumberFormat="0" applyAlignment="0" applyProtection="0"/>
    <xf numFmtId="9" fontId="48" fillId="0" borderId="86"/>
    <xf numFmtId="9" fontId="48" fillId="0" borderId="86"/>
    <xf numFmtId="10" fontId="48" fillId="0" borderId="86"/>
    <xf numFmtId="10" fontId="48" fillId="0" borderId="86"/>
    <xf numFmtId="9" fontId="18" fillId="0" borderId="0" applyFont="0" applyFill="0" applyBorder="0" applyAlignment="0" applyProtection="0"/>
    <xf numFmtId="4" fontId="25" fillId="92" borderId="90" applyNumberFormat="0" applyProtection="0">
      <alignment vertical="center"/>
    </xf>
    <xf numFmtId="4" fontId="25" fillId="92" borderId="90" applyNumberFormat="0" applyProtection="0">
      <alignment vertical="center"/>
    </xf>
    <xf numFmtId="4" fontId="218" fillId="92" borderId="90" applyNumberFormat="0" applyProtection="0">
      <alignment vertical="center"/>
    </xf>
    <xf numFmtId="4" fontId="218" fillId="92" borderId="90" applyNumberFormat="0" applyProtection="0">
      <alignment vertical="center"/>
    </xf>
    <xf numFmtId="4" fontId="25" fillId="92" borderId="90" applyNumberFormat="0" applyProtection="0">
      <alignment horizontal="left" vertical="center" indent="1"/>
    </xf>
    <xf numFmtId="4" fontId="25" fillId="92" borderId="90" applyNumberFormat="0" applyProtection="0">
      <alignment horizontal="left" vertical="center" indent="1"/>
    </xf>
    <xf numFmtId="4" fontId="25" fillId="92" borderId="90" applyNumberFormat="0" applyProtection="0">
      <alignment horizontal="left" vertical="center" indent="1"/>
    </xf>
    <xf numFmtId="4" fontId="25" fillId="92" borderId="90" applyNumberFormat="0" applyProtection="0">
      <alignment horizontal="left" vertical="center" indent="1"/>
    </xf>
    <xf numFmtId="0" fontId="23" fillId="51" borderId="90" applyNumberFormat="0" applyProtection="0">
      <alignment horizontal="left" vertical="center" indent="1"/>
    </xf>
    <xf numFmtId="0" fontId="23" fillId="51" borderId="90" applyNumberFormat="0" applyProtection="0">
      <alignment horizontal="left" vertical="center" indent="1"/>
    </xf>
    <xf numFmtId="4" fontId="25" fillId="69" borderId="90" applyNumberFormat="0" applyProtection="0">
      <alignment horizontal="right" vertical="center"/>
    </xf>
    <xf numFmtId="4" fontId="25" fillId="69" borderId="90" applyNumberFormat="0" applyProtection="0">
      <alignment horizontal="right" vertical="center"/>
    </xf>
    <xf numFmtId="4" fontId="25" fillId="93" borderId="90" applyNumberFormat="0" applyProtection="0">
      <alignment horizontal="right" vertical="center"/>
    </xf>
    <xf numFmtId="4" fontId="25" fillId="93" borderId="90" applyNumberFormat="0" applyProtection="0">
      <alignment horizontal="right" vertical="center"/>
    </xf>
    <xf numFmtId="4" fontId="25" fillId="88" borderId="90" applyNumberFormat="0" applyProtection="0">
      <alignment horizontal="right" vertical="center"/>
    </xf>
    <xf numFmtId="4" fontId="25" fillId="88" borderId="90" applyNumberFormat="0" applyProtection="0">
      <alignment horizontal="right" vertical="center"/>
    </xf>
    <xf numFmtId="4" fontId="25" fillId="94" borderId="90" applyNumberFormat="0" applyProtection="0">
      <alignment horizontal="right" vertical="center"/>
    </xf>
    <xf numFmtId="4" fontId="25" fillId="94" borderId="90" applyNumberFormat="0" applyProtection="0">
      <alignment horizontal="right" vertical="center"/>
    </xf>
    <xf numFmtId="4" fontId="25" fillId="95" borderId="90" applyNumberFormat="0" applyProtection="0">
      <alignment horizontal="right" vertical="center"/>
    </xf>
    <xf numFmtId="4" fontId="25" fillId="95" borderId="90" applyNumberFormat="0" applyProtection="0">
      <alignment horizontal="right" vertical="center"/>
    </xf>
    <xf numFmtId="4" fontId="25" fillId="96" borderId="90" applyNumberFormat="0" applyProtection="0">
      <alignment horizontal="right" vertical="center"/>
    </xf>
    <xf numFmtId="4" fontId="25" fillId="96" borderId="90" applyNumberFormat="0" applyProtection="0">
      <alignment horizontal="right" vertical="center"/>
    </xf>
    <xf numFmtId="4" fontId="25" fillId="97" borderId="90" applyNumberFormat="0" applyProtection="0">
      <alignment horizontal="right" vertical="center"/>
    </xf>
    <xf numFmtId="4" fontId="25" fillId="97" borderId="90" applyNumberFormat="0" applyProtection="0">
      <alignment horizontal="right" vertical="center"/>
    </xf>
    <xf numFmtId="4" fontId="25" fillId="98" borderId="90" applyNumberFormat="0" applyProtection="0">
      <alignment horizontal="right" vertical="center"/>
    </xf>
    <xf numFmtId="4" fontId="25" fillId="98" borderId="90" applyNumberFormat="0" applyProtection="0">
      <alignment horizontal="right" vertical="center"/>
    </xf>
    <xf numFmtId="4" fontId="25" fillId="99" borderId="90" applyNumberFormat="0" applyProtection="0">
      <alignment horizontal="right" vertical="center"/>
    </xf>
    <xf numFmtId="4" fontId="25" fillId="99" borderId="90" applyNumberFormat="0" applyProtection="0">
      <alignment horizontal="right" vertical="center"/>
    </xf>
    <xf numFmtId="4" fontId="55" fillId="100" borderId="90" applyNumberFormat="0" applyProtection="0">
      <alignment horizontal="left" vertical="center" indent="1"/>
    </xf>
    <xf numFmtId="4" fontId="55" fillId="100" borderId="90" applyNumberFormat="0" applyProtection="0">
      <alignment horizontal="left" vertical="center" indent="1"/>
    </xf>
    <xf numFmtId="43" fontId="18" fillId="0" borderId="0" applyFont="0" applyFill="0" applyBorder="0" applyAlignment="0" applyProtection="0"/>
    <xf numFmtId="0" fontId="23" fillId="103" borderId="90" applyNumberFormat="0" applyProtection="0">
      <alignment horizontal="left" vertical="center" indent="1"/>
    </xf>
    <xf numFmtId="0" fontId="23" fillId="103" borderId="90" applyNumberFormat="0" applyProtection="0">
      <alignment horizontal="left" vertical="center" indent="1"/>
    </xf>
    <xf numFmtId="4" fontId="25" fillId="101" borderId="90" applyNumberFormat="0" applyProtection="0">
      <alignment horizontal="left" vertical="center" indent="1"/>
    </xf>
    <xf numFmtId="4" fontId="25" fillId="101" borderId="90" applyNumberFormat="0" applyProtection="0">
      <alignment horizontal="left" vertical="center" indent="1"/>
    </xf>
    <xf numFmtId="4" fontId="25" fillId="51" borderId="90" applyNumberFormat="0" applyProtection="0">
      <alignment horizontal="left" vertical="center" indent="1"/>
    </xf>
    <xf numFmtId="4" fontId="25" fillId="51" borderId="90" applyNumberFormat="0" applyProtection="0">
      <alignment horizontal="left" vertical="center" indent="1"/>
    </xf>
    <xf numFmtId="0" fontId="23" fillId="104" borderId="90" applyNumberFormat="0" applyProtection="0">
      <alignment horizontal="left" vertical="center" indent="1"/>
    </xf>
    <xf numFmtId="0" fontId="23" fillId="104" borderId="90" applyNumberFormat="0" applyProtection="0">
      <alignment horizontal="left" vertical="center" indent="1"/>
    </xf>
    <xf numFmtId="0" fontId="23" fillId="104" borderId="90" applyNumberFormat="0" applyProtection="0">
      <alignment horizontal="left" vertical="center" indent="1"/>
    </xf>
    <xf numFmtId="0" fontId="23" fillId="104" borderId="90" applyNumberFormat="0" applyProtection="0">
      <alignment horizontal="left" vertical="center" indent="1"/>
    </xf>
    <xf numFmtId="0" fontId="23" fillId="74" borderId="90" applyNumberFormat="0" applyProtection="0">
      <alignment horizontal="left" vertical="center" indent="1"/>
    </xf>
    <xf numFmtId="0" fontId="23" fillId="74" borderId="90" applyNumberFormat="0" applyProtection="0">
      <alignment horizontal="left" vertical="center" indent="1"/>
    </xf>
    <xf numFmtId="0" fontId="23" fillId="74" borderId="90" applyNumberFormat="0" applyProtection="0">
      <alignment horizontal="left" vertical="center" indent="1"/>
    </xf>
    <xf numFmtId="0" fontId="23" fillId="74" borderId="90" applyNumberFormat="0" applyProtection="0">
      <alignment horizontal="left" vertical="center" indent="1"/>
    </xf>
    <xf numFmtId="0" fontId="23" fillId="34" borderId="90" applyNumberFormat="0" applyProtection="0">
      <alignment horizontal="left" vertical="center" indent="1"/>
    </xf>
    <xf numFmtId="0" fontId="23" fillId="34" borderId="90" applyNumberFormat="0" applyProtection="0">
      <alignment horizontal="left" vertical="center" indent="1"/>
    </xf>
    <xf numFmtId="0" fontId="23" fillId="34" borderId="90" applyNumberFormat="0" applyProtection="0">
      <alignment horizontal="left" vertical="center" indent="1"/>
    </xf>
    <xf numFmtId="0" fontId="23" fillId="34"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4" fontId="25" fillId="36" borderId="90" applyNumberFormat="0" applyProtection="0">
      <alignment vertical="center"/>
    </xf>
    <xf numFmtId="4" fontId="25" fillId="36" borderId="90" applyNumberFormat="0" applyProtection="0">
      <alignment vertical="center"/>
    </xf>
    <xf numFmtId="4" fontId="218" fillId="36" borderId="90" applyNumberFormat="0" applyProtection="0">
      <alignment vertical="center"/>
    </xf>
    <xf numFmtId="4" fontId="218" fillId="36" borderId="90" applyNumberFormat="0" applyProtection="0">
      <alignment vertical="center"/>
    </xf>
    <xf numFmtId="4" fontId="25" fillId="36" borderId="90" applyNumberFormat="0" applyProtection="0">
      <alignment horizontal="left" vertical="center" indent="1"/>
    </xf>
    <xf numFmtId="4" fontId="25" fillId="36" borderId="90" applyNumberFormat="0" applyProtection="0">
      <alignment horizontal="left" vertical="center" indent="1"/>
    </xf>
    <xf numFmtId="4" fontId="25" fillId="36" borderId="90" applyNumberFormat="0" applyProtection="0">
      <alignment horizontal="left" vertical="center" indent="1"/>
    </xf>
    <xf numFmtId="4" fontId="25" fillId="36" borderId="90" applyNumberFormat="0" applyProtection="0">
      <alignment horizontal="left" vertical="center" indent="1"/>
    </xf>
    <xf numFmtId="4" fontId="25" fillId="105" borderId="90" applyNumberFormat="0" applyProtection="0">
      <alignment horizontal="right" vertical="center"/>
    </xf>
    <xf numFmtId="4" fontId="25" fillId="105" borderId="90" applyNumberFormat="0" applyProtection="0">
      <alignment horizontal="right" vertical="center"/>
    </xf>
    <xf numFmtId="4" fontId="218" fillId="105" borderId="90" applyNumberFormat="0" applyProtection="0">
      <alignment horizontal="right" vertical="center"/>
    </xf>
    <xf numFmtId="4" fontId="218" fillId="105" borderId="90" applyNumberFormat="0" applyProtection="0">
      <alignment horizontal="right" vertical="center"/>
    </xf>
    <xf numFmtId="0" fontId="23" fillId="103"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4" fontId="215" fillId="105" borderId="90" applyNumberFormat="0" applyProtection="0">
      <alignment horizontal="right" vertical="center"/>
    </xf>
    <xf numFmtId="4" fontId="215" fillId="105" borderId="90" applyNumberFormat="0" applyProtection="0">
      <alignment horizontal="right" vertical="center"/>
    </xf>
    <xf numFmtId="0" fontId="23" fillId="0" borderId="86"/>
    <xf numFmtId="0" fontId="23" fillId="0" borderId="86"/>
    <xf numFmtId="0" fontId="23" fillId="0" borderId="86"/>
    <xf numFmtId="0" fontId="23" fillId="0" borderId="86"/>
    <xf numFmtId="0" fontId="260" fillId="0" borderId="91" applyNumberFormat="0" applyFill="0" applyAlignment="0" applyProtection="0"/>
    <xf numFmtId="0" fontId="260" fillId="0" borderId="91" applyNumberFormat="0" applyFill="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43" fontId="2" fillId="0" borderId="0" applyFont="0" applyFill="0" applyBorder="0" applyAlignment="0" applyProtection="0"/>
    <xf numFmtId="44" fontId="2" fillId="0" borderId="0" applyFont="0" applyFill="0" applyBorder="0" applyAlignment="0" applyProtection="0"/>
  </cellStyleXfs>
  <cellXfs count="830">
    <xf numFmtId="0" fontId="0" fillId="0" borderId="0" xfId="0"/>
    <xf numFmtId="0" fontId="269" fillId="0" borderId="97" xfId="0" applyFont="1" applyBorder="1"/>
    <xf numFmtId="0" fontId="269" fillId="0" borderId="97" xfId="3" applyFont="1" applyBorder="1"/>
    <xf numFmtId="0" fontId="269" fillId="0" borderId="27" xfId="3" applyFont="1" applyBorder="1"/>
    <xf numFmtId="0" fontId="269" fillId="0" borderId="0" xfId="0" applyFont="1"/>
    <xf numFmtId="0" fontId="272" fillId="0" borderId="29" xfId="3" applyFont="1" applyBorder="1"/>
    <xf numFmtId="0" fontId="273" fillId="117" borderId="20" xfId="0" applyFont="1" applyFill="1" applyBorder="1" applyAlignment="1">
      <alignment horizontal="centerContinuous"/>
    </xf>
    <xf numFmtId="0" fontId="274" fillId="117" borderId="21" xfId="0" applyFont="1" applyFill="1" applyBorder="1" applyAlignment="1">
      <alignment horizontal="centerContinuous"/>
    </xf>
    <xf numFmtId="0" fontId="274" fillId="117" borderId="22" xfId="0" applyFont="1" applyFill="1" applyBorder="1" applyAlignment="1">
      <alignment horizontal="centerContinuous"/>
    </xf>
    <xf numFmtId="0" fontId="269" fillId="118" borderId="0" xfId="0" applyFont="1" applyFill="1"/>
    <xf numFmtId="0" fontId="270" fillId="123" borderId="0" xfId="0" applyFont="1" applyFill="1"/>
    <xf numFmtId="0" fontId="269" fillId="123" borderId="0" xfId="0" applyFont="1" applyFill="1"/>
    <xf numFmtId="0" fontId="275" fillId="123" borderId="0" xfId="0" applyFont="1" applyFill="1"/>
    <xf numFmtId="6" fontId="270" fillId="123" borderId="31" xfId="0" applyNumberFormat="1" applyFont="1" applyFill="1" applyBorder="1" applyAlignment="1">
      <alignment horizontal="left"/>
    </xf>
    <xf numFmtId="249" fontId="29" fillId="0" borderId="31" xfId="0" applyNumberFormat="1" applyFont="1" applyBorder="1" applyAlignment="1">
      <alignment horizontal="left"/>
    </xf>
    <xf numFmtId="0" fontId="270" fillId="123" borderId="31" xfId="0" applyFont="1" applyFill="1" applyBorder="1"/>
    <xf numFmtId="0" fontId="275" fillId="123" borderId="27" xfId="0" applyFont="1" applyFill="1" applyBorder="1"/>
    <xf numFmtId="0" fontId="270" fillId="123" borderId="23" xfId="0" applyFont="1" applyFill="1" applyBorder="1"/>
    <xf numFmtId="0" fontId="269" fillId="123" borderId="23" xfId="0" applyFont="1" applyFill="1" applyBorder="1"/>
    <xf numFmtId="0" fontId="275" fillId="123" borderId="23" xfId="0" applyFont="1" applyFill="1" applyBorder="1"/>
    <xf numFmtId="0" fontId="269" fillId="123" borderId="26" xfId="0" applyFont="1" applyFill="1" applyBorder="1"/>
    <xf numFmtId="0" fontId="273" fillId="117" borderId="21" xfId="0" applyFont="1" applyFill="1" applyBorder="1" applyAlignment="1">
      <alignment horizontal="centerContinuous"/>
    </xf>
    <xf numFmtId="0" fontId="273" fillId="117" borderId="22" xfId="0" applyFont="1" applyFill="1" applyBorder="1" applyAlignment="1">
      <alignment horizontal="centerContinuous"/>
    </xf>
    <xf numFmtId="14" fontId="270" fillId="123" borderId="0" xfId="0" applyNumberFormat="1" applyFont="1" applyFill="1" applyAlignment="1">
      <alignment horizontal="left"/>
    </xf>
    <xf numFmtId="14" fontId="270" fillId="123" borderId="31" xfId="0" applyNumberFormat="1" applyFont="1" applyFill="1" applyBorder="1" applyAlignment="1">
      <alignment horizontal="left"/>
    </xf>
    <xf numFmtId="6" fontId="270" fillId="123" borderId="0" xfId="0" applyNumberFormat="1" applyFont="1" applyFill="1" applyAlignment="1">
      <alignment horizontal="left"/>
    </xf>
    <xf numFmtId="0" fontId="44" fillId="0" borderId="0" xfId="0" applyFont="1" applyAlignment="1">
      <alignment horizontal="center"/>
    </xf>
    <xf numFmtId="0" fontId="275" fillId="0" borderId="27" xfId="0" applyFont="1" applyBorder="1" applyAlignment="1">
      <alignment horizontal="left" indent="1"/>
    </xf>
    <xf numFmtId="0" fontId="269" fillId="0" borderId="23" xfId="0" applyFont="1" applyBorder="1"/>
    <xf numFmtId="0" fontId="275" fillId="0" borderId="97" xfId="0" applyFont="1" applyBorder="1"/>
    <xf numFmtId="269" fontId="269" fillId="0" borderId="0" xfId="0" applyNumberFormat="1" applyFont="1" applyAlignment="1">
      <alignment horizontal="left"/>
    </xf>
    <xf numFmtId="0" fontId="275" fillId="0" borderId="0" xfId="0" applyFont="1"/>
    <xf numFmtId="0" fontId="269" fillId="0" borderId="31" xfId="0" applyFont="1" applyBorder="1"/>
    <xf numFmtId="0" fontId="275" fillId="123" borderId="97" xfId="0" applyFont="1" applyFill="1" applyBorder="1"/>
    <xf numFmtId="0" fontId="275" fillId="0" borderId="115" xfId="0" applyFont="1" applyBorder="1" applyAlignment="1">
      <alignment horizontal="left" indent="1"/>
    </xf>
    <xf numFmtId="164" fontId="270" fillId="0" borderId="114" xfId="1" applyNumberFormat="1" applyFont="1" applyFill="1" applyBorder="1"/>
    <xf numFmtId="6" fontId="270" fillId="0" borderId="114" xfId="0" applyNumberFormat="1" applyFont="1" applyBorder="1" applyAlignment="1">
      <alignment horizontal="left" indent="1"/>
    </xf>
    <xf numFmtId="0" fontId="275" fillId="0" borderId="114" xfId="0" applyFont="1" applyBorder="1"/>
    <xf numFmtId="14" fontId="270" fillId="0" borderId="23" xfId="1" applyNumberFormat="1" applyFont="1" applyFill="1" applyBorder="1"/>
    <xf numFmtId="6" fontId="270" fillId="0" borderId="23" xfId="0" applyNumberFormat="1" applyFont="1" applyBorder="1" applyAlignment="1">
      <alignment horizontal="left" indent="1"/>
    </xf>
    <xf numFmtId="0" fontId="273" fillId="117" borderId="92" xfId="0" applyFont="1" applyFill="1" applyBorder="1"/>
    <xf numFmtId="0" fontId="273" fillId="117" borderId="19" xfId="0" applyFont="1" applyFill="1" applyBorder="1" applyAlignment="1">
      <alignment horizontal="center"/>
    </xf>
    <xf numFmtId="0" fontId="273" fillId="117" borderId="93" xfId="0" applyFont="1" applyFill="1" applyBorder="1" applyAlignment="1">
      <alignment horizontal="center"/>
    </xf>
    <xf numFmtId="0" fontId="270" fillId="0" borderId="0" xfId="0" applyFont="1" applyAlignment="1">
      <alignment horizontal="left"/>
    </xf>
    <xf numFmtId="0" fontId="270" fillId="0" borderId="31" xfId="0" applyFont="1" applyBorder="1"/>
    <xf numFmtId="9" fontId="270" fillId="0" borderId="48" xfId="1" applyFont="1" applyFill="1" applyBorder="1" applyAlignment="1">
      <alignment horizontal="center"/>
    </xf>
    <xf numFmtId="14" fontId="270" fillId="0" borderId="31" xfId="0" applyNumberFormat="1" applyFont="1" applyBorder="1" applyAlignment="1">
      <alignment horizontal="left"/>
    </xf>
    <xf numFmtId="9" fontId="270" fillId="0" borderId="18" xfId="1" applyFont="1" applyFill="1" applyBorder="1" applyAlignment="1">
      <alignment horizontal="center"/>
    </xf>
    <xf numFmtId="0" fontId="270" fillId="0" borderId="18" xfId="0" applyFont="1" applyBorder="1" applyAlignment="1">
      <alignment horizontal="center"/>
    </xf>
    <xf numFmtId="269" fontId="269" fillId="0" borderId="31" xfId="0" applyNumberFormat="1" applyFont="1" applyBorder="1" applyAlignment="1">
      <alignment horizontal="left"/>
    </xf>
    <xf numFmtId="0" fontId="269" fillId="0" borderId="18" xfId="0" applyFont="1" applyBorder="1" applyAlignment="1">
      <alignment horizontal="centerContinuous"/>
    </xf>
    <xf numFmtId="0" fontId="269" fillId="0" borderId="88" xfId="0" applyFont="1" applyBorder="1"/>
    <xf numFmtId="264" fontId="269" fillId="0" borderId="88" xfId="0" applyNumberFormat="1" applyFont="1" applyBorder="1" applyAlignment="1">
      <alignment horizontal="center"/>
    </xf>
    <xf numFmtId="249" fontId="269" fillId="0" borderId="0" xfId="0" applyNumberFormat="1" applyFont="1"/>
    <xf numFmtId="249" fontId="269" fillId="0" borderId="31" xfId="0" applyNumberFormat="1" applyFont="1" applyBorder="1"/>
    <xf numFmtId="0" fontId="269" fillId="0" borderId="97" xfId="0" applyFont="1" applyBorder="1" applyAlignment="1">
      <alignment horizontal="left"/>
    </xf>
    <xf numFmtId="9" fontId="277" fillId="0" borderId="97" xfId="1" applyFont="1" applyBorder="1"/>
    <xf numFmtId="9" fontId="269" fillId="0" borderId="0" xfId="1" applyFont="1" applyBorder="1"/>
    <xf numFmtId="9" fontId="269" fillId="0" borderId="31" xfId="1" applyFont="1" applyBorder="1"/>
    <xf numFmtId="0" fontId="277" fillId="0" borderId="27" xfId="0" applyFont="1" applyBorder="1"/>
    <xf numFmtId="9" fontId="269" fillId="0" borderId="23" xfId="1" applyFont="1" applyBorder="1"/>
    <xf numFmtId="9" fontId="269" fillId="0" borderId="26" xfId="1" applyFont="1" applyBorder="1"/>
    <xf numFmtId="14" fontId="269" fillId="0" borderId="0" xfId="0" applyNumberFormat="1" applyFont="1"/>
    <xf numFmtId="0" fontId="269" fillId="0" borderId="0" xfId="0" applyFont="1" applyAlignment="1">
      <alignment horizontal="centerContinuous"/>
    </xf>
    <xf numFmtId="0" fontId="275" fillId="0" borderId="0" xfId="0" applyFont="1" applyAlignment="1">
      <alignment horizontal="left" indent="1"/>
    </xf>
    <xf numFmtId="1" fontId="275" fillId="0" borderId="0" xfId="0" applyNumberFormat="1" applyFont="1"/>
    <xf numFmtId="0" fontId="273" fillId="0" borderId="0" xfId="0" applyFont="1" applyAlignment="1">
      <alignment horizontal="center"/>
    </xf>
    <xf numFmtId="0" fontId="44" fillId="118" borderId="20" xfId="0" applyFont="1" applyFill="1" applyBorder="1" applyAlignment="1">
      <alignment horizontal="centerContinuous"/>
    </xf>
    <xf numFmtId="0" fontId="44" fillId="118" borderId="21" xfId="0" applyFont="1" applyFill="1" applyBorder="1" applyAlignment="1">
      <alignment horizontal="centerContinuous"/>
    </xf>
    <xf numFmtId="0" fontId="44" fillId="118" borderId="22" xfId="0" applyFont="1" applyFill="1" applyBorder="1" applyAlignment="1">
      <alignment horizontal="centerContinuous"/>
    </xf>
    <xf numFmtId="264" fontId="275" fillId="118" borderId="48" xfId="0" applyNumberFormat="1" applyFont="1" applyFill="1" applyBorder="1" applyAlignment="1">
      <alignment horizontal="center"/>
    </xf>
    <xf numFmtId="6" fontId="275" fillId="0" borderId="0" xfId="0" applyNumberFormat="1" applyFont="1"/>
    <xf numFmtId="6" fontId="275" fillId="0" borderId="0" xfId="3" applyNumberFormat="1" applyFont="1"/>
    <xf numFmtId="265" fontId="276" fillId="0" borderId="0" xfId="16779" applyNumberFormat="1" applyFont="1" applyFill="1" applyBorder="1"/>
    <xf numFmtId="265" fontId="277" fillId="0" borderId="0" xfId="16779" applyNumberFormat="1" applyFont="1" applyFill="1" applyBorder="1"/>
    <xf numFmtId="6" fontId="277" fillId="0" borderId="0" xfId="0" applyNumberFormat="1" applyFont="1"/>
    <xf numFmtId="0" fontId="269" fillId="120" borderId="0" xfId="0" applyFont="1" applyFill="1"/>
    <xf numFmtId="0" fontId="269" fillId="0" borderId="0" xfId="3" applyFont="1"/>
    <xf numFmtId="191" fontId="269" fillId="0" borderId="0" xfId="16890" applyNumberFormat="1" applyFont="1" applyBorder="1"/>
    <xf numFmtId="0" fontId="269" fillId="0" borderId="27" xfId="0" applyFont="1" applyBorder="1"/>
    <xf numFmtId="0" fontId="269" fillId="0" borderId="26" xfId="0" applyFont="1" applyBorder="1"/>
    <xf numFmtId="0" fontId="275" fillId="0" borderId="0" xfId="3" applyFont="1" applyAlignment="1">
      <alignment horizontal="left"/>
    </xf>
    <xf numFmtId="0" fontId="269" fillId="0" borderId="18" xfId="0" applyFont="1" applyBorder="1"/>
    <xf numFmtId="264" fontId="269" fillId="0" borderId="18" xfId="0" applyNumberFormat="1" applyFont="1" applyBorder="1" applyAlignment="1">
      <alignment horizontal="center"/>
    </xf>
    <xf numFmtId="6" fontId="275" fillId="0" borderId="0" xfId="16891" applyNumberFormat="1" applyFont="1"/>
    <xf numFmtId="0" fontId="268" fillId="0" borderId="0" xfId="0" applyFont="1"/>
    <xf numFmtId="0" fontId="275" fillId="0" borderId="0" xfId="3" applyFont="1"/>
    <xf numFmtId="0" fontId="44" fillId="0" borderId="20" xfId="0" applyFont="1" applyBorder="1" applyAlignment="1" applyProtection="1">
      <alignment horizontal="left" vertical="center"/>
      <protection locked="0"/>
    </xf>
    <xf numFmtId="3" fontId="29" fillId="0" borderId="18" xfId="1" applyNumberFormat="1" applyFont="1" applyFill="1" applyBorder="1" applyAlignment="1" applyProtection="1">
      <alignment horizontal="center" vertical="center"/>
    </xf>
    <xf numFmtId="3" fontId="44" fillId="0" borderId="18" xfId="0" applyNumberFormat="1" applyFont="1" applyBorder="1" applyAlignment="1" applyProtection="1">
      <alignment horizontal="center" vertical="center"/>
      <protection locked="0"/>
    </xf>
    <xf numFmtId="0" fontId="269" fillId="0" borderId="0" xfId="3" applyFont="1" applyAlignment="1">
      <alignment horizontal="left"/>
    </xf>
    <xf numFmtId="0" fontId="44" fillId="0" borderId="0" xfId="3" applyFont="1"/>
    <xf numFmtId="0" fontId="273" fillId="0" borderId="0" xfId="3" applyFont="1" applyAlignment="1">
      <alignment horizontal="center"/>
    </xf>
    <xf numFmtId="272" fontId="275" fillId="0" borderId="0" xfId="0" applyNumberFormat="1" applyFont="1"/>
    <xf numFmtId="194" fontId="30" fillId="0" borderId="0" xfId="16783" applyNumberFormat="1" applyFont="1" applyFill="1" applyBorder="1"/>
    <xf numFmtId="0" fontId="281" fillId="128" borderId="104" xfId="0" applyFont="1" applyFill="1" applyBorder="1"/>
    <xf numFmtId="0" fontId="281" fillId="128" borderId="104" xfId="0" applyFont="1" applyFill="1" applyBorder="1" applyAlignment="1">
      <alignment horizontal="center" vertical="center"/>
    </xf>
    <xf numFmtId="0" fontId="61" fillId="126" borderId="105" xfId="0" applyFont="1" applyFill="1" applyBorder="1" applyAlignment="1">
      <alignment horizontal="center" vertical="center"/>
    </xf>
    <xf numFmtId="0" fontId="281" fillId="123" borderId="104" xfId="0" applyFont="1" applyFill="1" applyBorder="1"/>
    <xf numFmtId="0" fontId="281" fillId="123" borderId="106" xfId="0" applyFont="1" applyFill="1" applyBorder="1" applyAlignment="1">
      <alignment horizontal="center" vertical="center"/>
    </xf>
    <xf numFmtId="0" fontId="61" fillId="126" borderId="107" xfId="0" applyFont="1" applyFill="1" applyBorder="1" applyAlignment="1">
      <alignment horizontal="center" vertical="center"/>
    </xf>
    <xf numFmtId="9" fontId="281" fillId="123" borderId="106" xfId="0" applyNumberFormat="1" applyFont="1" applyFill="1" applyBorder="1" applyAlignment="1">
      <alignment horizontal="center" vertical="center"/>
    </xf>
    <xf numFmtId="0" fontId="280" fillId="127" borderId="111" xfId="0" applyFont="1" applyFill="1" applyBorder="1" applyAlignment="1">
      <alignment horizontal="left"/>
    </xf>
    <xf numFmtId="2" fontId="280" fillId="127" borderId="111" xfId="0" applyNumberFormat="1" applyFont="1" applyFill="1" applyBorder="1" applyAlignment="1">
      <alignment horizontal="left"/>
    </xf>
    <xf numFmtId="0" fontId="282" fillId="0" borderId="0" xfId="0" applyFont="1"/>
    <xf numFmtId="0" fontId="285" fillId="0" borderId="0" xfId="0" applyFont="1"/>
    <xf numFmtId="0" fontId="286" fillId="0" borderId="0" xfId="0" applyFont="1" applyAlignment="1">
      <alignment horizontal="left" indent="1"/>
    </xf>
    <xf numFmtId="191" fontId="284" fillId="0" borderId="0" xfId="16890" applyNumberFormat="1" applyFont="1" applyBorder="1"/>
    <xf numFmtId="0" fontId="287" fillId="0" borderId="0" xfId="0" applyFont="1"/>
    <xf numFmtId="6" fontId="289" fillId="0" borderId="0" xfId="16891" applyNumberFormat="1" applyFont="1"/>
    <xf numFmtId="0" fontId="290" fillId="0" borderId="0" xfId="0" applyFont="1"/>
    <xf numFmtId="0" fontId="287" fillId="124" borderId="0" xfId="0" applyFont="1" applyFill="1"/>
    <xf numFmtId="0" fontId="291" fillId="0" borderId="0" xfId="0" applyFont="1" applyAlignment="1">
      <alignment horizontal="left" indent="1"/>
    </xf>
    <xf numFmtId="0" fontId="291" fillId="0" borderId="0" xfId="0" applyFont="1" applyAlignment="1">
      <alignment horizontal="right"/>
    </xf>
    <xf numFmtId="265" fontId="291" fillId="0" borderId="0" xfId="16779" applyNumberFormat="1" applyFont="1" applyFill="1" applyBorder="1"/>
    <xf numFmtId="191" fontId="289" fillId="0" borderId="0" xfId="16890" applyNumberFormat="1" applyFont="1" applyBorder="1"/>
    <xf numFmtId="164" fontId="291" fillId="0" borderId="0" xfId="1" applyNumberFormat="1" applyFont="1"/>
    <xf numFmtId="6" fontId="292" fillId="0" borderId="0" xfId="16891" applyNumberFormat="1" applyFont="1"/>
    <xf numFmtId="0" fontId="292" fillId="0" borderId="0" xfId="0" applyFont="1" applyAlignment="1">
      <alignment horizontal="right"/>
    </xf>
    <xf numFmtId="164" fontId="293" fillId="0" borderId="0" xfId="1" applyNumberFormat="1" applyFont="1" applyBorder="1"/>
    <xf numFmtId="0" fontId="291" fillId="0" borderId="23" xfId="0" applyFont="1" applyBorder="1" applyAlignment="1">
      <alignment horizontal="left" indent="1"/>
    </xf>
    <xf numFmtId="164" fontId="293" fillId="0" borderId="23" xfId="1" applyNumberFormat="1" applyFont="1" applyBorder="1"/>
    <xf numFmtId="6" fontId="289" fillId="0" borderId="0" xfId="16891" applyNumberFormat="1" applyFont="1" applyAlignment="1">
      <alignment horizontal="center"/>
    </xf>
    <xf numFmtId="6" fontId="289" fillId="0" borderId="23" xfId="16891" applyNumberFormat="1" applyFont="1" applyBorder="1" applyAlignment="1">
      <alignment horizontal="center"/>
    </xf>
    <xf numFmtId="3" fontId="270" fillId="0" borderId="18" xfId="1" applyNumberFormat="1" applyFont="1" applyFill="1" applyBorder="1" applyAlignment="1" applyProtection="1">
      <alignment horizontal="center" vertical="center"/>
    </xf>
    <xf numFmtId="3" fontId="270" fillId="0" borderId="18" xfId="1" applyNumberFormat="1" applyFont="1" applyFill="1" applyBorder="1" applyAlignment="1" applyProtection="1">
      <alignment horizontal="center" vertical="center"/>
      <protection locked="0"/>
    </xf>
    <xf numFmtId="0" fontId="287" fillId="0" borderId="0" xfId="0" applyFont="1" applyAlignment="1">
      <alignment horizontal="right"/>
    </xf>
    <xf numFmtId="0" fontId="44" fillId="0" borderId="0" xfId="0" applyFont="1" applyAlignment="1" applyProtection="1">
      <alignment horizontal="left" vertical="center"/>
      <protection locked="0"/>
    </xf>
    <xf numFmtId="3" fontId="29" fillId="0" borderId="0" xfId="1" applyNumberFormat="1" applyFont="1" applyFill="1" applyBorder="1" applyAlignment="1" applyProtection="1">
      <alignment horizontal="center" vertical="center"/>
    </xf>
    <xf numFmtId="3" fontId="29" fillId="0" borderId="0" xfId="1" applyNumberFormat="1" applyFont="1" applyFill="1" applyBorder="1" applyAlignment="1" applyProtection="1">
      <alignment horizontal="center" vertical="center"/>
      <protection locked="0"/>
    </xf>
    <xf numFmtId="270" fontId="294" fillId="0" borderId="0" xfId="0" applyNumberFormat="1" applyFont="1" applyAlignment="1" applyProtection="1">
      <alignment horizontal="center" vertical="center"/>
      <protection locked="0"/>
    </xf>
    <xf numFmtId="0" fontId="44" fillId="0" borderId="27" xfId="0" applyFont="1" applyBorder="1" applyAlignment="1">
      <alignment horizontal="left" vertical="center"/>
    </xf>
    <xf numFmtId="0" fontId="289" fillId="0" borderId="0" xfId="0" applyFont="1" applyAlignment="1">
      <alignment horizontal="center"/>
    </xf>
    <xf numFmtId="3" fontId="287" fillId="0" borderId="0" xfId="0" applyNumberFormat="1" applyFont="1" applyAlignment="1">
      <alignment horizontal="center"/>
    </xf>
    <xf numFmtId="0" fontId="290" fillId="0" borderId="0" xfId="0" applyFont="1" applyAlignment="1">
      <alignment horizontal="left" indent="1"/>
    </xf>
    <xf numFmtId="1" fontId="287" fillId="0" borderId="0" xfId="0" applyNumberFormat="1" applyFont="1" applyAlignment="1">
      <alignment horizontal="center"/>
    </xf>
    <xf numFmtId="0" fontId="29" fillId="0" borderId="18" xfId="0" applyFont="1" applyBorder="1" applyAlignment="1">
      <alignment horizontal="center"/>
    </xf>
    <xf numFmtId="14" fontId="270" fillId="0" borderId="18" xfId="0" applyNumberFormat="1" applyFont="1" applyBorder="1" applyAlignment="1">
      <alignment horizontal="center"/>
    </xf>
    <xf numFmtId="270" fontId="270" fillId="0" borderId="18" xfId="0" applyNumberFormat="1" applyFont="1" applyBorder="1" applyAlignment="1" applyProtection="1">
      <alignment horizontal="center" vertical="center"/>
      <protection locked="0"/>
    </xf>
    <xf numFmtId="270" fontId="271" fillId="0" borderId="18" xfId="0" applyNumberFormat="1" applyFont="1" applyBorder="1" applyAlignment="1" applyProtection="1">
      <alignment horizontal="center" vertical="center"/>
      <protection locked="0"/>
    </xf>
    <xf numFmtId="14" fontId="271" fillId="0" borderId="18" xfId="0" applyNumberFormat="1" applyFont="1" applyBorder="1" applyAlignment="1">
      <alignment horizontal="center"/>
    </xf>
    <xf numFmtId="0" fontId="271" fillId="0" borderId="18" xfId="0" applyFont="1" applyBorder="1" applyAlignment="1">
      <alignment horizontal="center"/>
    </xf>
    <xf numFmtId="0" fontId="270" fillId="0" borderId="18" xfId="0" applyFont="1" applyBorder="1"/>
    <xf numFmtId="0" fontId="275" fillId="0" borderId="20" xfId="0" applyFont="1" applyBorder="1"/>
    <xf numFmtId="0" fontId="275" fillId="0" borderId="22" xfId="0" applyFont="1" applyBorder="1"/>
    <xf numFmtId="0" fontId="275" fillId="0" borderId="18" xfId="0" applyFont="1" applyBorder="1"/>
    <xf numFmtId="6" fontId="268" fillId="0" borderId="18" xfId="0" applyNumberFormat="1" applyFont="1" applyBorder="1"/>
    <xf numFmtId="0" fontId="277" fillId="0" borderId="20" xfId="0" applyFont="1" applyBorder="1"/>
    <xf numFmtId="0" fontId="277" fillId="0" borderId="22" xfId="0" applyFont="1" applyBorder="1"/>
    <xf numFmtId="0" fontId="277" fillId="0" borderId="18" xfId="0" applyFont="1" applyBorder="1"/>
    <xf numFmtId="265" fontId="277" fillId="0" borderId="18" xfId="16779" applyNumberFormat="1" applyFont="1" applyFill="1" applyBorder="1" applyAlignment="1">
      <alignment horizontal="center"/>
    </xf>
    <xf numFmtId="265" fontId="277" fillId="0" borderId="18" xfId="16779" applyNumberFormat="1" applyFont="1" applyFill="1" applyBorder="1"/>
    <xf numFmtId="6" fontId="44" fillId="0" borderId="18" xfId="0" applyNumberFormat="1" applyFont="1" applyBorder="1"/>
    <xf numFmtId="0" fontId="288" fillId="129" borderId="0" xfId="0" applyFont="1" applyFill="1" applyAlignment="1">
      <alignment horizontal="centerContinuous"/>
    </xf>
    <xf numFmtId="0" fontId="287" fillId="129" borderId="0" xfId="0" applyFont="1" applyFill="1" applyAlignment="1">
      <alignment horizontal="centerContinuous"/>
    </xf>
    <xf numFmtId="0" fontId="288" fillId="129" borderId="28" xfId="0" applyFont="1" applyFill="1" applyBorder="1"/>
    <xf numFmtId="6" fontId="290" fillId="0" borderId="114" xfId="16891" applyNumberFormat="1" applyFont="1" applyBorder="1"/>
    <xf numFmtId="6" fontId="287" fillId="0" borderId="0" xfId="0" applyNumberFormat="1" applyFont="1"/>
    <xf numFmtId="0" fontId="287" fillId="129" borderId="0" xfId="0" applyFont="1" applyFill="1"/>
    <xf numFmtId="0" fontId="269" fillId="0" borderId="115" xfId="0" applyFont="1" applyBorder="1"/>
    <xf numFmtId="271" fontId="270" fillId="0" borderId="18" xfId="0" applyNumberFormat="1" applyFont="1" applyBorder="1" applyAlignment="1">
      <alignment horizontal="center"/>
    </xf>
    <xf numFmtId="0" fontId="270" fillId="0" borderId="18" xfId="3" applyFont="1" applyBorder="1"/>
    <xf numFmtId="0" fontId="269" fillId="0" borderId="0" xfId="0" applyFont="1" applyAlignment="1">
      <alignment vertical="top" wrapText="1"/>
    </xf>
    <xf numFmtId="0" fontId="283" fillId="129" borderId="0" xfId="0" applyFont="1" applyFill="1" applyAlignment="1">
      <alignment horizontal="centerContinuous"/>
    </xf>
    <xf numFmtId="0" fontId="283" fillId="129" borderId="113" xfId="0" applyFont="1" applyFill="1" applyBorder="1"/>
    <xf numFmtId="264" fontId="283" fillId="129" borderId="113" xfId="0" applyNumberFormat="1" applyFont="1" applyFill="1" applyBorder="1" applyAlignment="1">
      <alignment horizontal="center"/>
    </xf>
    <xf numFmtId="6" fontId="285" fillId="0" borderId="114" xfId="16891" applyNumberFormat="1" applyFont="1" applyBorder="1"/>
    <xf numFmtId="0" fontId="295" fillId="0" borderId="0" xfId="0" applyFont="1"/>
    <xf numFmtId="6" fontId="295" fillId="0" borderId="0" xfId="16891" applyNumberFormat="1" applyFont="1"/>
    <xf numFmtId="6" fontId="284" fillId="0" borderId="0" xfId="0" applyNumberFormat="1" applyFont="1"/>
    <xf numFmtId="6" fontId="286" fillId="0" borderId="0" xfId="0" applyNumberFormat="1" applyFont="1"/>
    <xf numFmtId="0" fontId="295" fillId="0" borderId="0" xfId="3" applyFont="1"/>
    <xf numFmtId="6" fontId="295" fillId="0" borderId="0" xfId="0" applyNumberFormat="1" applyFont="1"/>
    <xf numFmtId="0" fontId="285" fillId="0" borderId="0" xfId="0" applyFont="1" applyAlignment="1">
      <alignment horizontal="center"/>
    </xf>
    <xf numFmtId="0" fontId="267" fillId="0" borderId="18" xfId="0" applyFont="1" applyBorder="1"/>
    <xf numFmtId="14" fontId="287" fillId="0" borderId="0" xfId="0" applyNumberFormat="1" applyFont="1"/>
    <xf numFmtId="14" fontId="268" fillId="121" borderId="29" xfId="3" applyNumberFormat="1" applyFont="1" applyFill="1" applyBorder="1" applyAlignment="1">
      <alignment horizontal="center"/>
    </xf>
    <xf numFmtId="14" fontId="268" fillId="121" borderId="10" xfId="3" applyNumberFormat="1" applyFont="1" applyFill="1" applyBorder="1" applyAlignment="1">
      <alignment horizontal="center"/>
    </xf>
    <xf numFmtId="0" fontId="269" fillId="0" borderId="114" xfId="0" applyFont="1" applyBorder="1"/>
    <xf numFmtId="0" fontId="44" fillId="118" borderId="114" xfId="0" applyFont="1" applyFill="1" applyBorder="1" applyAlignment="1">
      <alignment horizontal="centerContinuous"/>
    </xf>
    <xf numFmtId="265" fontId="276" fillId="0" borderId="31" xfId="16779" applyNumberFormat="1" applyFont="1" applyFill="1" applyBorder="1" applyAlignment="1">
      <alignment horizontal="right" indent="1"/>
    </xf>
    <xf numFmtId="0" fontId="277" fillId="0" borderId="97" xfId="0" applyFont="1" applyBorder="1" applyAlignment="1">
      <alignment horizontal="left" indent="1"/>
    </xf>
    <xf numFmtId="0" fontId="277" fillId="0" borderId="27" xfId="0" applyFont="1" applyBorder="1" applyAlignment="1">
      <alignment horizontal="left" indent="1"/>
    </xf>
    <xf numFmtId="265" fontId="277" fillId="0" borderId="23" xfId="16779" applyNumberFormat="1" applyFont="1" applyFill="1" applyBorder="1"/>
    <xf numFmtId="265" fontId="277" fillId="0" borderId="23" xfId="16779" applyNumberFormat="1" applyFont="1" applyFill="1" applyBorder="1" applyAlignment="1">
      <alignment horizontal="right" indent="1"/>
    </xf>
    <xf numFmtId="0" fontId="269" fillId="130" borderId="115" xfId="0" applyFont="1" applyFill="1" applyBorder="1"/>
    <xf numFmtId="264" fontId="275" fillId="118" borderId="117" xfId="0" applyNumberFormat="1" applyFont="1" applyFill="1" applyBorder="1" applyAlignment="1">
      <alignment horizontal="center"/>
    </xf>
    <xf numFmtId="0" fontId="273" fillId="119" borderId="118" xfId="0" applyFont="1" applyFill="1" applyBorder="1" applyAlignment="1">
      <alignment horizontal="center"/>
    </xf>
    <xf numFmtId="0" fontId="292" fillId="0" borderId="18" xfId="0" applyFont="1" applyBorder="1"/>
    <xf numFmtId="164" fontId="292" fillId="0" borderId="18" xfId="1" applyNumberFormat="1" applyFont="1" applyBorder="1"/>
    <xf numFmtId="0" fontId="298" fillId="123" borderId="108" xfId="0" applyFont="1" applyFill="1" applyBorder="1"/>
    <xf numFmtId="0" fontId="298" fillId="123" borderId="108" xfId="0" applyFont="1" applyFill="1" applyBorder="1" applyAlignment="1">
      <alignment horizontal="center" vertical="center"/>
    </xf>
    <xf numFmtId="249" fontId="292" fillId="0" borderId="18" xfId="0" applyNumberFormat="1" applyFont="1" applyBorder="1"/>
    <xf numFmtId="0" fontId="292" fillId="0" borderId="18" xfId="3" applyFont="1" applyBorder="1"/>
    <xf numFmtId="14" fontId="22" fillId="0" borderId="18" xfId="0" applyNumberFormat="1" applyFont="1" applyBorder="1" applyAlignment="1">
      <alignment horizontal="center"/>
    </xf>
    <xf numFmtId="14" fontId="285" fillId="0" borderId="18" xfId="0" applyNumberFormat="1" applyFont="1" applyBorder="1" applyAlignment="1">
      <alignment horizontal="center"/>
    </xf>
    <xf numFmtId="0" fontId="285" fillId="0" borderId="18" xfId="0" applyFont="1" applyBorder="1"/>
    <xf numFmtId="0" fontId="90" fillId="0" borderId="18" xfId="3" applyFont="1" applyBorder="1"/>
    <xf numFmtId="0" fontId="284" fillId="0" borderId="0" xfId="0" applyFont="1" applyAlignment="1">
      <alignment horizontal="left" indent="1"/>
    </xf>
    <xf numFmtId="191" fontId="284" fillId="0" borderId="0" xfId="16890" applyNumberFormat="1" applyFont="1" applyFill="1" applyBorder="1"/>
    <xf numFmtId="191" fontId="295" fillId="0" borderId="0" xfId="16891" applyNumberFormat="1" applyFont="1"/>
    <xf numFmtId="0" fontId="275" fillId="0" borderId="97" xfId="0" applyFont="1" applyBorder="1" applyAlignment="1">
      <alignment horizontal="left"/>
    </xf>
    <xf numFmtId="8" fontId="269" fillId="0" borderId="0" xfId="0" applyNumberFormat="1" applyFont="1"/>
    <xf numFmtId="265" fontId="277" fillId="0" borderId="31" xfId="16779" applyNumberFormat="1" applyFont="1" applyFill="1" applyBorder="1" applyAlignment="1">
      <alignment horizontal="right" indent="1"/>
    </xf>
    <xf numFmtId="3" fontId="269" fillId="0" borderId="0" xfId="0" applyNumberFormat="1" applyFont="1" applyAlignment="1">
      <alignment horizontal="right" indent="1"/>
    </xf>
    <xf numFmtId="38" fontId="269" fillId="0" borderId="0" xfId="3" applyNumberFormat="1" applyFont="1"/>
    <xf numFmtId="0" fontId="29" fillId="0" borderId="115" xfId="0" applyFont="1" applyBorder="1" applyAlignment="1" applyProtection="1">
      <alignment horizontal="left" vertical="center"/>
      <protection locked="0"/>
    </xf>
    <xf numFmtId="3" fontId="44" fillId="0" borderId="0" xfId="0" applyNumberFormat="1" applyFont="1" applyAlignment="1" applyProtection="1">
      <alignment horizontal="center" vertical="center"/>
      <protection locked="0"/>
    </xf>
    <xf numFmtId="0" fontId="44" fillId="118" borderId="88" xfId="0" applyFont="1" applyFill="1" applyBorder="1"/>
    <xf numFmtId="0" fontId="44" fillId="118" borderId="88" xfId="0" applyFont="1" applyFill="1" applyBorder="1" applyAlignment="1">
      <alignment horizontal="center"/>
    </xf>
    <xf numFmtId="0" fontId="44" fillId="118" borderId="88" xfId="3" applyFont="1" applyFill="1" applyBorder="1" applyAlignment="1">
      <alignment horizontal="center"/>
    </xf>
    <xf numFmtId="0" fontId="273" fillId="119" borderId="115" xfId="0" applyFont="1" applyFill="1" applyBorder="1" applyAlignment="1" applyProtection="1">
      <alignment horizontal="left" vertical="center"/>
      <protection locked="0"/>
    </xf>
    <xf numFmtId="17" fontId="273" fillId="125" borderId="88" xfId="0" applyNumberFormat="1" applyFont="1" applyFill="1" applyBorder="1" applyAlignment="1" applyProtection="1">
      <alignment horizontal="center" vertical="center"/>
      <protection locked="0"/>
    </xf>
    <xf numFmtId="3" fontId="29" fillId="0" borderId="114" xfId="1" applyNumberFormat="1" applyFont="1" applyFill="1" applyBorder="1" applyAlignment="1" applyProtection="1">
      <alignment horizontal="center" vertical="center"/>
    </xf>
    <xf numFmtId="3" fontId="29" fillId="0" borderId="119" xfId="1" applyNumberFormat="1" applyFont="1" applyFill="1" applyBorder="1" applyAlignment="1" applyProtection="1">
      <alignment horizontal="center" vertical="center"/>
    </xf>
    <xf numFmtId="0" fontId="29" fillId="0" borderId="97" xfId="0" applyFont="1" applyBorder="1" applyAlignment="1" applyProtection="1">
      <alignment horizontal="left" vertical="center"/>
      <protection locked="0"/>
    </xf>
    <xf numFmtId="3" fontId="29" fillId="0" borderId="31" xfId="1" applyNumberFormat="1" applyFont="1" applyFill="1" applyBorder="1" applyAlignment="1" applyProtection="1">
      <alignment horizontal="center" vertical="center"/>
    </xf>
    <xf numFmtId="3" fontId="44" fillId="0" borderId="31" xfId="0" applyNumberFormat="1" applyFont="1" applyBorder="1" applyAlignment="1" applyProtection="1">
      <alignment horizontal="center" vertical="center"/>
      <protection locked="0"/>
    </xf>
    <xf numFmtId="0" fontId="275" fillId="130" borderId="115" xfId="0" applyFont="1" applyFill="1" applyBorder="1"/>
    <xf numFmtId="3" fontId="44" fillId="130" borderId="114" xfId="1" applyNumberFormat="1" applyFont="1" applyFill="1" applyBorder="1" applyAlignment="1" applyProtection="1">
      <alignment horizontal="center" vertical="center"/>
    </xf>
    <xf numFmtId="3" fontId="44" fillId="130" borderId="119" xfId="1" applyNumberFormat="1" applyFont="1" applyFill="1" applyBorder="1" applyAlignment="1" applyProtection="1">
      <alignment horizontal="center" vertical="center"/>
    </xf>
    <xf numFmtId="0" fontId="44" fillId="130" borderId="97" xfId="0" applyFont="1" applyFill="1" applyBorder="1" applyAlignment="1" applyProtection="1">
      <alignment horizontal="left" vertical="center"/>
      <protection locked="0"/>
    </xf>
    <xf numFmtId="3" fontId="44" fillId="130" borderId="0" xfId="1" applyNumberFormat="1" applyFont="1" applyFill="1" applyBorder="1" applyAlignment="1" applyProtection="1">
      <alignment horizontal="center" vertical="center"/>
    </xf>
    <xf numFmtId="3" fontId="44" fillId="130" borderId="31" xfId="1" applyNumberFormat="1" applyFont="1" applyFill="1" applyBorder="1" applyAlignment="1" applyProtection="1">
      <alignment horizontal="center" vertical="center"/>
    </xf>
    <xf numFmtId="0" fontId="44" fillId="130" borderId="27" xfId="0" applyFont="1" applyFill="1" applyBorder="1" applyAlignment="1" applyProtection="1">
      <alignment horizontal="left" vertical="center"/>
      <protection locked="0"/>
    </xf>
    <xf numFmtId="3" fontId="44" fillId="130" borderId="23" xfId="1" applyNumberFormat="1" applyFont="1" applyFill="1" applyBorder="1" applyAlignment="1" applyProtection="1">
      <alignment horizontal="center" vertical="center"/>
    </xf>
    <xf numFmtId="3" fontId="44" fillId="130" borderId="26" xfId="1" applyNumberFormat="1" applyFont="1" applyFill="1" applyBorder="1" applyAlignment="1" applyProtection="1">
      <alignment horizontal="center" vertical="center"/>
    </xf>
    <xf numFmtId="0" fontId="275" fillId="130" borderId="115" xfId="0" applyFont="1" applyFill="1" applyBorder="1" applyAlignment="1">
      <alignment horizontal="left" indent="2"/>
    </xf>
    <xf numFmtId="164" fontId="269" fillId="130" borderId="114" xfId="1" applyNumberFormat="1" applyFont="1" applyFill="1" applyBorder="1"/>
    <xf numFmtId="164" fontId="269" fillId="130" borderId="119" xfId="1" applyNumberFormat="1" applyFont="1" applyFill="1" applyBorder="1"/>
    <xf numFmtId="0" fontId="44" fillId="130" borderId="97" xfId="0" applyFont="1" applyFill="1" applyBorder="1" applyAlignment="1" applyProtection="1">
      <alignment horizontal="left" vertical="center" indent="2"/>
      <protection locked="0"/>
    </xf>
    <xf numFmtId="164" fontId="269" fillId="130" borderId="0" xfId="1" applyNumberFormat="1" applyFont="1" applyFill="1" applyBorder="1"/>
    <xf numFmtId="164" fontId="269" fillId="130" borderId="31" xfId="1" applyNumberFormat="1" applyFont="1" applyFill="1" applyBorder="1"/>
    <xf numFmtId="0" fontId="44" fillId="130" borderId="27" xfId="0" applyFont="1" applyFill="1" applyBorder="1" applyAlignment="1" applyProtection="1">
      <alignment horizontal="left" vertical="center" indent="2"/>
      <protection locked="0"/>
    </xf>
    <xf numFmtId="164" fontId="269" fillId="130" borderId="23" xfId="1" applyNumberFormat="1" applyFont="1" applyFill="1" applyBorder="1"/>
    <xf numFmtId="164" fontId="269" fillId="130" borderId="26" xfId="1" applyNumberFormat="1" applyFont="1" applyFill="1" applyBorder="1"/>
    <xf numFmtId="191" fontId="269" fillId="130" borderId="114" xfId="16890" applyNumberFormat="1" applyFont="1" applyFill="1" applyBorder="1"/>
    <xf numFmtId="0" fontId="269" fillId="130" borderId="97" xfId="0" applyFont="1" applyFill="1" applyBorder="1"/>
    <xf numFmtId="191" fontId="269" fillId="130" borderId="0" xfId="16890" applyNumberFormat="1" applyFont="1" applyFill="1" applyBorder="1"/>
    <xf numFmtId="191" fontId="269" fillId="130" borderId="31" xfId="16890" applyNumberFormat="1" applyFont="1" applyFill="1" applyBorder="1"/>
    <xf numFmtId="0" fontId="275" fillId="130" borderId="27" xfId="0" applyFont="1" applyFill="1" applyBorder="1" applyAlignment="1">
      <alignment horizontal="left" indent="1"/>
    </xf>
    <xf numFmtId="191" fontId="275" fillId="130" borderId="23" xfId="16890" applyNumberFormat="1" applyFont="1" applyFill="1" applyBorder="1"/>
    <xf numFmtId="191" fontId="275" fillId="130" borderId="26" xfId="16890" applyNumberFormat="1" applyFont="1" applyFill="1" applyBorder="1"/>
    <xf numFmtId="0" fontId="269" fillId="130" borderId="27" xfId="0" applyFont="1" applyFill="1" applyBorder="1"/>
    <xf numFmtId="0" fontId="269" fillId="0" borderId="97" xfId="0" applyFont="1" applyBorder="1" applyAlignment="1">
      <alignment horizontal="left" indent="1"/>
    </xf>
    <xf numFmtId="0" fontId="288" fillId="129" borderId="0" xfId="0" applyFont="1" applyFill="1"/>
    <xf numFmtId="0" fontId="288" fillId="129" borderId="21" xfId="0" applyFont="1" applyFill="1" applyBorder="1"/>
    <xf numFmtId="0" fontId="88" fillId="129" borderId="20" xfId="0" applyFont="1" applyFill="1" applyBorder="1" applyAlignment="1" applyProtection="1">
      <alignment horizontal="left" vertical="center"/>
      <protection locked="0"/>
    </xf>
    <xf numFmtId="17" fontId="273" fillId="129" borderId="18" xfId="0" applyNumberFormat="1" applyFont="1" applyFill="1" applyBorder="1" applyAlignment="1" applyProtection="1">
      <alignment horizontal="center" vertical="center"/>
      <protection locked="0"/>
    </xf>
    <xf numFmtId="0" fontId="88" fillId="129" borderId="20" xfId="0" applyFont="1" applyFill="1" applyBorder="1" applyAlignment="1">
      <alignment horizontal="left" vertical="center"/>
    </xf>
    <xf numFmtId="17" fontId="273" fillId="129" borderId="18" xfId="0" applyNumberFormat="1" applyFont="1" applyFill="1" applyBorder="1" applyAlignment="1">
      <alignment horizontal="center" vertical="center"/>
    </xf>
    <xf numFmtId="0" fontId="44" fillId="0" borderId="0" xfId="0" applyFont="1" applyAlignment="1">
      <alignment horizontal="left" vertical="center"/>
    </xf>
    <xf numFmtId="0" fontId="287" fillId="119" borderId="0" xfId="0" applyFont="1" applyFill="1"/>
    <xf numFmtId="0" fontId="273" fillId="119" borderId="120" xfId="0" applyFont="1" applyFill="1" applyBorder="1" applyAlignment="1">
      <alignment horizontal="center"/>
    </xf>
    <xf numFmtId="0" fontId="275" fillId="0" borderId="23" xfId="0" applyFont="1" applyBorder="1"/>
    <xf numFmtId="164" fontId="29" fillId="0" borderId="26" xfId="1" applyNumberFormat="1" applyFont="1" applyFill="1" applyBorder="1" applyAlignment="1">
      <alignment horizontal="left"/>
    </xf>
    <xf numFmtId="0" fontId="275" fillId="0" borderId="115" xfId="0" applyFont="1" applyBorder="1"/>
    <xf numFmtId="3" fontId="275" fillId="0" borderId="114" xfId="0" applyNumberFormat="1" applyFont="1" applyBorder="1" applyAlignment="1">
      <alignment horizontal="right" indent="1"/>
    </xf>
    <xf numFmtId="38" fontId="275" fillId="0" borderId="114" xfId="3" applyNumberFormat="1" applyFont="1" applyBorder="1"/>
    <xf numFmtId="265" fontId="276" fillId="0" borderId="114" xfId="16779" applyNumberFormat="1" applyFont="1" applyFill="1" applyBorder="1"/>
    <xf numFmtId="265" fontId="276" fillId="0" borderId="119" xfId="16779" applyNumberFormat="1" applyFont="1" applyFill="1" applyBorder="1" applyAlignment="1">
      <alignment horizontal="right" indent="1"/>
    </xf>
    <xf numFmtId="0" fontId="267" fillId="0" borderId="0" xfId="0" applyFont="1"/>
    <xf numFmtId="0" fontId="49" fillId="0" borderId="121" xfId="0" applyFont="1" applyBorder="1" applyAlignment="1">
      <alignment horizontal="center" vertical="center" wrapText="1"/>
    </xf>
    <xf numFmtId="16" fontId="49" fillId="123" borderId="121" xfId="0" applyNumberFormat="1" applyFont="1" applyFill="1" applyBorder="1" applyAlignment="1">
      <alignment horizontal="center" vertical="center" wrapText="1"/>
    </xf>
    <xf numFmtId="0" fontId="49" fillId="123" borderId="121" xfId="0" applyFont="1" applyFill="1" applyBorder="1" applyAlignment="1">
      <alignment horizontal="center" vertical="center" wrapText="1"/>
    </xf>
    <xf numFmtId="0" fontId="49" fillId="0" borderId="112" xfId="0" applyFont="1" applyBorder="1" applyAlignment="1">
      <alignment horizontal="center"/>
    </xf>
    <xf numFmtId="14" fontId="49" fillId="0" borderId="112" xfId="0" applyNumberFormat="1" applyFont="1" applyBorder="1" applyAlignment="1">
      <alignment horizontal="center"/>
    </xf>
    <xf numFmtId="3" fontId="267" fillId="0" borderId="0" xfId="0" applyNumberFormat="1" applyFont="1" applyAlignment="1">
      <alignment horizontal="center"/>
    </xf>
    <xf numFmtId="0" fontId="49" fillId="118" borderId="112" xfId="0" applyFont="1" applyFill="1" applyBorder="1" applyAlignment="1" applyProtection="1">
      <alignment horizontal="left"/>
      <protection locked="0"/>
    </xf>
    <xf numFmtId="0" fontId="49" fillId="118" borderId="121" xfId="0" applyFont="1" applyFill="1" applyBorder="1"/>
    <xf numFmtId="0" fontId="49" fillId="118" borderId="123" xfId="0" applyFont="1" applyFill="1" applyBorder="1"/>
    <xf numFmtId="0" fontId="49" fillId="118" borderId="123" xfId="0" applyFont="1" applyFill="1" applyBorder="1" applyAlignment="1">
      <alignment horizontal="left"/>
    </xf>
    <xf numFmtId="0" fontId="49" fillId="123" borderId="121" xfId="0" applyFont="1" applyFill="1" applyBorder="1" applyAlignment="1">
      <alignment horizontal="center" vertical="distributed"/>
    </xf>
    <xf numFmtId="264" fontId="301" fillId="118" borderId="112" xfId="0" applyNumberFormat="1" applyFont="1" applyFill="1" applyBorder="1" applyAlignment="1">
      <alignment horizontal="center" vertical="center" wrapText="1"/>
    </xf>
    <xf numFmtId="249" fontId="267" fillId="0" borderId="129" xfId="1" applyNumberFormat="1" applyFont="1" applyFill="1" applyBorder="1" applyAlignment="1" applyProtection="1">
      <alignment horizontal="center"/>
      <protection locked="0"/>
    </xf>
    <xf numFmtId="14" fontId="270" fillId="0" borderId="0" xfId="0" applyNumberFormat="1" applyFont="1" applyAlignment="1">
      <alignment horizontal="center"/>
    </xf>
    <xf numFmtId="264" fontId="269" fillId="0" borderId="67" xfId="0" applyNumberFormat="1" applyFont="1" applyBorder="1" applyAlignment="1">
      <alignment horizontal="center"/>
    </xf>
    <xf numFmtId="264" fontId="269" fillId="0" borderId="48" xfId="0" applyNumberFormat="1" applyFont="1" applyBorder="1" applyAlignment="1">
      <alignment horizontal="center"/>
    </xf>
    <xf numFmtId="264" fontId="269" fillId="0" borderId="115" xfId="0" applyNumberFormat="1" applyFont="1" applyBorder="1" applyAlignment="1">
      <alignment horizontal="center"/>
    </xf>
    <xf numFmtId="264" fontId="269" fillId="0" borderId="97" xfId="0" applyNumberFormat="1" applyFont="1" applyBorder="1" applyAlignment="1">
      <alignment horizontal="center"/>
    </xf>
    <xf numFmtId="264" fontId="269" fillId="0" borderId="27" xfId="0" applyNumberFormat="1" applyFont="1" applyBorder="1" applyAlignment="1">
      <alignment horizontal="center"/>
    </xf>
    <xf numFmtId="0" fontId="273" fillId="119" borderId="88" xfId="3" applyFont="1" applyFill="1" applyBorder="1" applyAlignment="1">
      <alignment horizontal="center"/>
    </xf>
    <xf numFmtId="0" fontId="268" fillId="0" borderId="22" xfId="0" applyFont="1" applyBorder="1"/>
    <xf numFmtId="0" fontId="268" fillId="0" borderId="18" xfId="0" applyFont="1" applyBorder="1"/>
    <xf numFmtId="271" fontId="29" fillId="0" borderId="114" xfId="0" applyNumberFormat="1" applyFont="1" applyBorder="1" applyAlignment="1">
      <alignment horizontal="center"/>
    </xf>
    <xf numFmtId="0" fontId="29" fillId="0" borderId="0" xfId="0" applyFont="1" applyAlignment="1">
      <alignment horizontal="center"/>
    </xf>
    <xf numFmtId="271" fontId="29" fillId="0" borderId="0" xfId="0" applyNumberFormat="1" applyFont="1" applyAlignment="1">
      <alignment horizontal="center"/>
    </xf>
    <xf numFmtId="0" fontId="29" fillId="0" borderId="23" xfId="0" applyFont="1" applyBorder="1" applyAlignment="1">
      <alignment horizontal="center"/>
    </xf>
    <xf numFmtId="271" fontId="29" fillId="0" borderId="23" xfId="0" applyNumberFormat="1" applyFont="1" applyBorder="1" applyAlignment="1">
      <alignment horizontal="center"/>
    </xf>
    <xf numFmtId="0" fontId="270" fillId="0" borderId="0" xfId="3" applyFont="1"/>
    <xf numFmtId="0" fontId="270" fillId="0" borderId="0" xfId="0" applyFont="1" applyAlignment="1">
      <alignment horizontal="center"/>
    </xf>
    <xf numFmtId="271" fontId="270" fillId="0" borderId="0" xfId="0" applyNumberFormat="1" applyFont="1" applyAlignment="1">
      <alignment horizontal="center"/>
    </xf>
    <xf numFmtId="0" fontId="270" fillId="0" borderId="0" xfId="0" applyFont="1"/>
    <xf numFmtId="0" fontId="271" fillId="0" borderId="0" xfId="0" applyFont="1" applyAlignment="1">
      <alignment horizontal="center"/>
    </xf>
    <xf numFmtId="272" fontId="275" fillId="0" borderId="97" xfId="0" applyNumberFormat="1" applyFont="1" applyBorder="1" applyAlignment="1">
      <alignment horizontal="center"/>
    </xf>
    <xf numFmtId="272" fontId="269" fillId="0" borderId="48" xfId="0" applyNumberFormat="1" applyFont="1" applyBorder="1" applyAlignment="1">
      <alignment horizontal="center"/>
    </xf>
    <xf numFmtId="271" fontId="29" fillId="0" borderId="31" xfId="0" applyNumberFormat="1" applyFont="1" applyBorder="1" applyAlignment="1">
      <alignment horizontal="center"/>
    </xf>
    <xf numFmtId="0" fontId="275" fillId="123" borderId="115" xfId="0" applyFont="1" applyFill="1" applyBorder="1"/>
    <xf numFmtId="0" fontId="270" fillId="123" borderId="114" xfId="0" applyFont="1" applyFill="1" applyBorder="1"/>
    <xf numFmtId="0" fontId="269" fillId="123" borderId="114" xfId="0" applyFont="1" applyFill="1" applyBorder="1" applyAlignment="1">
      <alignment horizontal="centerContinuous"/>
    </xf>
    <xf numFmtId="0" fontId="275" fillId="123" borderId="114" xfId="0" applyFont="1" applyFill="1" applyBorder="1"/>
    <xf numFmtId="0" fontId="270" fillId="123" borderId="119" xfId="0" applyFont="1" applyFill="1" applyBorder="1"/>
    <xf numFmtId="0" fontId="270" fillId="123" borderId="0" xfId="0" applyFont="1" applyFill="1" applyAlignment="1">
      <alignment vertical="top" wrapText="1"/>
    </xf>
    <xf numFmtId="0" fontId="270" fillId="123" borderId="31" xfId="0" applyFont="1" applyFill="1" applyBorder="1" applyAlignment="1">
      <alignment vertical="top" wrapText="1"/>
    </xf>
    <xf numFmtId="0" fontId="270" fillId="123" borderId="23" xfId="0" applyFont="1" applyFill="1" applyBorder="1" applyAlignment="1">
      <alignment vertical="top" wrapText="1"/>
    </xf>
    <xf numFmtId="0" fontId="269" fillId="123" borderId="114" xfId="0" applyFont="1" applyFill="1" applyBorder="1"/>
    <xf numFmtId="0" fontId="275" fillId="123" borderId="97" xfId="0" applyFont="1" applyFill="1" applyBorder="1" applyAlignment="1">
      <alignment horizontal="left"/>
    </xf>
    <xf numFmtId="0" fontId="270" fillId="123" borderId="23" xfId="0" applyFont="1" applyFill="1" applyBorder="1" applyAlignment="1">
      <alignment vertical="top"/>
    </xf>
    <xf numFmtId="2" fontId="280" fillId="127" borderId="111" xfId="0" applyNumberFormat="1" applyFont="1" applyFill="1" applyBorder="1" applyAlignment="1">
      <alignment horizontal="center"/>
    </xf>
    <xf numFmtId="0" fontId="275" fillId="118" borderId="18" xfId="0" applyFont="1" applyFill="1" applyBorder="1"/>
    <xf numFmtId="0" fontId="275" fillId="118" borderId="18" xfId="0" applyFont="1" applyFill="1" applyBorder="1" applyAlignment="1">
      <alignment horizontal="center"/>
    </xf>
    <xf numFmtId="0" fontId="269" fillId="0" borderId="72" xfId="0" applyFont="1" applyBorder="1"/>
    <xf numFmtId="0" fontId="270" fillId="0" borderId="88" xfId="0" applyFont="1" applyBorder="1" applyAlignment="1">
      <alignment horizontal="center"/>
    </xf>
    <xf numFmtId="0" fontId="270" fillId="0" borderId="88" xfId="0" applyFont="1" applyBorder="1"/>
    <xf numFmtId="264" fontId="269" fillId="0" borderId="72" xfId="0" applyNumberFormat="1" applyFont="1" applyBorder="1" applyAlignment="1">
      <alignment horizontal="center"/>
    </xf>
    <xf numFmtId="272" fontId="269" fillId="0" borderId="67" xfId="0" applyNumberFormat="1" applyFont="1" applyBorder="1" applyAlignment="1">
      <alignment horizontal="center"/>
    </xf>
    <xf numFmtId="272" fontId="269" fillId="0" borderId="88" xfId="0" applyNumberFormat="1" applyFont="1" applyBorder="1" applyAlignment="1">
      <alignment horizontal="center"/>
    </xf>
    <xf numFmtId="272" fontId="275" fillId="0" borderId="31" xfId="0" applyNumberFormat="1" applyFont="1" applyBorder="1" applyAlignment="1">
      <alignment horizontal="center"/>
    </xf>
    <xf numFmtId="0" fontId="269" fillId="0" borderId="20" xfId="3" applyFont="1" applyBorder="1"/>
    <xf numFmtId="191" fontId="269" fillId="130" borderId="23" xfId="16890" applyNumberFormat="1" applyFont="1" applyFill="1" applyBorder="1"/>
    <xf numFmtId="191" fontId="269" fillId="130" borderId="26" xfId="16890" applyNumberFormat="1" applyFont="1" applyFill="1" applyBorder="1"/>
    <xf numFmtId="191" fontId="269" fillId="130" borderId="119" xfId="16890" applyNumberFormat="1" applyFont="1" applyFill="1" applyBorder="1"/>
    <xf numFmtId="0" fontId="267" fillId="0" borderId="0" xfId="0" applyFont="1" applyAlignment="1">
      <alignment horizontal="center"/>
    </xf>
    <xf numFmtId="0" fontId="275" fillId="0" borderId="18" xfId="0" applyFont="1" applyBorder="1" applyAlignment="1">
      <alignment horizontal="centerContinuous"/>
    </xf>
    <xf numFmtId="0" fontId="287" fillId="0" borderId="0" xfId="0" quotePrefix="1" applyFont="1"/>
    <xf numFmtId="0" fontId="300" fillId="131" borderId="0" xfId="0" applyFont="1" applyFill="1"/>
    <xf numFmtId="10" fontId="270" fillId="123" borderId="31" xfId="1" applyNumberFormat="1" applyFont="1" applyFill="1" applyBorder="1" applyAlignment="1">
      <alignment horizontal="left"/>
    </xf>
    <xf numFmtId="0" fontId="269" fillId="0" borderId="115" xfId="3" applyFont="1" applyBorder="1"/>
    <xf numFmtId="267" fontId="270" fillId="0" borderId="88" xfId="0" applyNumberFormat="1" applyFont="1" applyBorder="1" applyAlignment="1">
      <alignment horizontal="center"/>
    </xf>
    <xf numFmtId="267" fontId="270" fillId="0" borderId="67" xfId="0" applyNumberFormat="1" applyFont="1" applyBorder="1" applyAlignment="1">
      <alignment horizontal="center"/>
    </xf>
    <xf numFmtId="267" fontId="29" fillId="0" borderId="88" xfId="0" applyNumberFormat="1" applyFont="1" applyBorder="1" applyAlignment="1">
      <alignment horizontal="center"/>
    </xf>
    <xf numFmtId="267" fontId="29" fillId="0" borderId="67" xfId="0" applyNumberFormat="1" applyFont="1" applyBorder="1" applyAlignment="1">
      <alignment horizontal="center"/>
    </xf>
    <xf numFmtId="0" fontId="269" fillId="0" borderId="119" xfId="0" applyFont="1" applyBorder="1" applyAlignment="1">
      <alignment horizontal="center"/>
    </xf>
    <xf numFmtId="0" fontId="44" fillId="118" borderId="48" xfId="0" applyFont="1" applyFill="1" applyBorder="1"/>
    <xf numFmtId="0" fontId="44" fillId="118" borderId="48" xfId="3" applyFont="1" applyFill="1" applyBorder="1" applyAlignment="1">
      <alignment horizontal="center"/>
    </xf>
    <xf numFmtId="0" fontId="270" fillId="0" borderId="67" xfId="0" applyFont="1" applyBorder="1"/>
    <xf numFmtId="191" fontId="287" fillId="0" borderId="0" xfId="0" applyNumberFormat="1" applyFont="1"/>
    <xf numFmtId="43" fontId="287" fillId="0" borderId="0" xfId="0" applyNumberFormat="1" applyFont="1"/>
    <xf numFmtId="0" fontId="292" fillId="0" borderId="0" xfId="3" applyFont="1" applyAlignment="1">
      <alignment horizontal="center"/>
    </xf>
    <xf numFmtId="164" fontId="277" fillId="0" borderId="0" xfId="1" applyNumberFormat="1" applyFont="1" applyFill="1" applyBorder="1" applyAlignment="1">
      <alignment horizontal="center"/>
    </xf>
    <xf numFmtId="0" fontId="269" fillId="0" borderId="115" xfId="3" applyFont="1" applyBorder="1" applyAlignment="1">
      <alignment horizontal="left" indent="1"/>
    </xf>
    <xf numFmtId="0" fontId="44" fillId="0" borderId="0" xfId="3" applyFont="1" applyAlignment="1">
      <alignment wrapText="1"/>
    </xf>
    <xf numFmtId="0" fontId="277" fillId="0" borderId="0" xfId="3" applyFont="1" applyAlignment="1">
      <alignment horizontal="center"/>
    </xf>
    <xf numFmtId="164" fontId="276" fillId="0" borderId="0" xfId="1" applyNumberFormat="1" applyFont="1" applyFill="1" applyBorder="1" applyAlignment="1">
      <alignment horizontal="center"/>
    </xf>
    <xf numFmtId="0" fontId="278" fillId="118" borderId="18" xfId="3" applyFont="1" applyFill="1" applyBorder="1"/>
    <xf numFmtId="0" fontId="277" fillId="0" borderId="0" xfId="3" applyFont="1" applyAlignment="1">
      <alignment vertical="top" wrapText="1"/>
    </xf>
    <xf numFmtId="6" fontId="269" fillId="0" borderId="114" xfId="16891" applyNumberFormat="1" applyFont="1" applyBorder="1"/>
    <xf numFmtId="6" fontId="269" fillId="0" borderId="119" xfId="16891" applyNumberFormat="1" applyFont="1" applyBorder="1"/>
    <xf numFmtId="0" fontId="269" fillId="0" borderId="97" xfId="3" applyFont="1" applyBorder="1" applyAlignment="1">
      <alignment horizontal="left" indent="1"/>
    </xf>
    <xf numFmtId="191" fontId="269" fillId="0" borderId="31" xfId="16890" applyNumberFormat="1" applyFont="1" applyBorder="1"/>
    <xf numFmtId="6" fontId="275" fillId="0" borderId="31" xfId="16891" applyNumberFormat="1" applyFont="1" applyBorder="1"/>
    <xf numFmtId="14" fontId="269" fillId="130" borderId="18" xfId="0" applyNumberFormat="1" applyFont="1" applyFill="1" applyBorder="1"/>
    <xf numFmtId="0" fontId="275" fillId="0" borderId="97" xfId="3" applyFont="1" applyBorder="1" applyAlignment="1">
      <alignment horizontal="left"/>
    </xf>
    <xf numFmtId="0" fontId="275" fillId="118" borderId="48" xfId="0" applyFont="1" applyFill="1" applyBorder="1" applyAlignment="1">
      <alignment horizontal="center"/>
    </xf>
    <xf numFmtId="0" fontId="44" fillId="118" borderId="20" xfId="0" applyFont="1" applyFill="1" applyBorder="1"/>
    <xf numFmtId="0" fontId="269" fillId="118" borderId="22" xfId="0" applyFont="1" applyFill="1" applyBorder="1"/>
    <xf numFmtId="0" fontId="275" fillId="118" borderId="27" xfId="0" applyFont="1" applyFill="1" applyBorder="1" applyAlignment="1">
      <alignment horizontal="center"/>
    </xf>
    <xf numFmtId="0" fontId="269" fillId="0" borderId="119" xfId="0" applyFont="1" applyBorder="1"/>
    <xf numFmtId="0" fontId="44" fillId="118" borderId="26" xfId="0" applyFont="1" applyFill="1" applyBorder="1" applyAlignment="1">
      <alignment horizontal="left"/>
    </xf>
    <xf numFmtId="0" fontId="283" fillId="129" borderId="130" xfId="0" applyFont="1" applyFill="1" applyBorder="1"/>
    <xf numFmtId="0" fontId="292" fillId="0" borderId="0" xfId="3" applyFont="1" applyAlignment="1">
      <alignment horizontal="left"/>
    </xf>
    <xf numFmtId="0" fontId="292" fillId="0" borderId="0" xfId="0" applyFont="1" applyAlignment="1">
      <alignment horizontal="left"/>
    </xf>
    <xf numFmtId="0" fontId="290" fillId="0" borderId="114" xfId="0" applyFont="1" applyBorder="1"/>
    <xf numFmtId="6" fontId="302" fillId="0" borderId="114" xfId="16891" applyNumberFormat="1" applyFont="1" applyBorder="1"/>
    <xf numFmtId="274" fontId="277" fillId="0" borderId="97" xfId="0" applyNumberFormat="1" applyFont="1" applyBorder="1" applyAlignment="1">
      <alignment horizontal="left" indent="1"/>
    </xf>
    <xf numFmtId="275" fontId="277" fillId="0" borderId="97" xfId="0" applyNumberFormat="1" applyFont="1" applyBorder="1" applyAlignment="1">
      <alignment horizontal="left" indent="1"/>
    </xf>
    <xf numFmtId="212" fontId="29" fillId="0" borderId="18" xfId="1" applyNumberFormat="1" applyFont="1" applyFill="1" applyBorder="1" applyAlignment="1" applyProtection="1">
      <alignment horizontal="center" vertical="center"/>
    </xf>
    <xf numFmtId="0" fontId="288" fillId="119" borderId="0" xfId="0" applyFont="1" applyFill="1" applyAlignment="1">
      <alignment horizontal="centerContinuous"/>
    </xf>
    <xf numFmtId="0" fontId="299" fillId="119" borderId="0" xfId="0" applyFont="1" applyFill="1"/>
    <xf numFmtId="0" fontId="273" fillId="119" borderId="20" xfId="0" applyFont="1" applyFill="1" applyBorder="1" applyAlignment="1" applyProtection="1">
      <alignment horizontal="left" vertical="center"/>
      <protection locked="0"/>
    </xf>
    <xf numFmtId="17" fontId="273" fillId="119" borderId="18" xfId="0" applyNumberFormat="1" applyFont="1" applyFill="1" applyBorder="1" applyAlignment="1" applyProtection="1">
      <alignment horizontal="center" vertical="center"/>
      <protection locked="0"/>
    </xf>
    <xf numFmtId="0" fontId="292" fillId="0" borderId="0" xfId="0" applyFont="1" applyAlignment="1">
      <alignment horizontal="left" indent="1"/>
    </xf>
    <xf numFmtId="0" fontId="268" fillId="0" borderId="20" xfId="0" applyFont="1" applyBorder="1" applyAlignment="1" applyProtection="1">
      <alignment horizontal="left" vertical="center"/>
      <protection locked="0"/>
    </xf>
    <xf numFmtId="0" fontId="287" fillId="0" borderId="0" xfId="0" applyFont="1" applyAlignment="1">
      <alignment horizontal="left" indent="1"/>
    </xf>
    <xf numFmtId="191" fontId="287" fillId="0" borderId="0" xfId="16892" applyNumberFormat="1" applyFont="1"/>
    <xf numFmtId="191" fontId="287" fillId="0" borderId="23" xfId="16892" applyNumberFormat="1" applyFont="1" applyBorder="1"/>
    <xf numFmtId="0" fontId="287" fillId="0" borderId="0" xfId="0" applyFont="1" applyAlignment="1">
      <alignment horizontal="left" indent="2"/>
    </xf>
    <xf numFmtId="191" fontId="287" fillId="0" borderId="0" xfId="16892" applyNumberFormat="1" applyFont="1" applyBorder="1"/>
    <xf numFmtId="191" fontId="287" fillId="0" borderId="21" xfId="16892" applyNumberFormat="1" applyFont="1" applyBorder="1"/>
    <xf numFmtId="49" fontId="287" fillId="0" borderId="0" xfId="16892" applyNumberFormat="1" applyFont="1"/>
    <xf numFmtId="264" fontId="288" fillId="119" borderId="0" xfId="0" applyNumberFormat="1" applyFont="1" applyFill="1" applyAlignment="1">
      <alignment horizontal="center"/>
    </xf>
    <xf numFmtId="0" fontId="288" fillId="119" borderId="0" xfId="0" applyFont="1" applyFill="1"/>
    <xf numFmtId="164" fontId="287" fillId="0" borderId="0" xfId="1" applyNumberFormat="1" applyFont="1"/>
    <xf numFmtId="264" fontId="288" fillId="129" borderId="0" xfId="0" applyNumberFormat="1" applyFont="1" applyFill="1" applyAlignment="1">
      <alignment horizontal="center"/>
    </xf>
    <xf numFmtId="1" fontId="288" fillId="119" borderId="0" xfId="0" applyNumberFormat="1" applyFont="1" applyFill="1" applyAlignment="1">
      <alignment horizontal="center"/>
    </xf>
    <xf numFmtId="0" fontId="288" fillId="119" borderId="131" xfId="0" applyFont="1" applyFill="1" applyBorder="1" applyAlignment="1">
      <alignment horizontal="centerContinuous"/>
    </xf>
    <xf numFmtId="0" fontId="287" fillId="119" borderId="131" xfId="0" applyFont="1" applyFill="1" applyBorder="1" applyAlignment="1">
      <alignment horizontal="centerContinuous"/>
    </xf>
    <xf numFmtId="264" fontId="288" fillId="119" borderId="132" xfId="0" applyNumberFormat="1" applyFont="1" applyFill="1" applyBorder="1" applyAlignment="1">
      <alignment horizontal="center"/>
    </xf>
    <xf numFmtId="264" fontId="288" fillId="119" borderId="116" xfId="0" applyNumberFormat="1" applyFont="1" applyFill="1" applyBorder="1" applyAlignment="1">
      <alignment horizontal="center"/>
    </xf>
    <xf numFmtId="276" fontId="270" fillId="0" borderId="88" xfId="0" applyNumberFormat="1" applyFont="1" applyBorder="1" applyAlignment="1">
      <alignment horizontal="left"/>
    </xf>
    <xf numFmtId="276" fontId="270" fillId="0" borderId="67" xfId="0" applyNumberFormat="1" applyFont="1" applyBorder="1" applyAlignment="1">
      <alignment horizontal="left"/>
    </xf>
    <xf numFmtId="6" fontId="295" fillId="0" borderId="0" xfId="16891" applyNumberFormat="1" applyFont="1" applyAlignment="1">
      <alignment horizontal="center"/>
    </xf>
    <xf numFmtId="0" fontId="90" fillId="0" borderId="0" xfId="0" applyFont="1" applyAlignment="1">
      <alignment horizontal="left" indent="1"/>
    </xf>
    <xf numFmtId="6" fontId="90" fillId="0" borderId="0" xfId="0" applyNumberFormat="1" applyFont="1"/>
    <xf numFmtId="6" fontId="90" fillId="0" borderId="0" xfId="16891" applyNumberFormat="1" applyFont="1"/>
    <xf numFmtId="264" fontId="288" fillId="129" borderId="28" xfId="0" applyNumberFormat="1" applyFont="1" applyFill="1" applyBorder="1" applyAlignment="1">
      <alignment horizontal="center"/>
    </xf>
    <xf numFmtId="0" fontId="287" fillId="0" borderId="114" xfId="0" applyFont="1" applyBorder="1"/>
    <xf numFmtId="0" fontId="291" fillId="0" borderId="0" xfId="0" applyFont="1"/>
    <xf numFmtId="164" fontId="29" fillId="0" borderId="18" xfId="1" applyNumberFormat="1" applyFont="1" applyFill="1" applyBorder="1" applyAlignment="1" applyProtection="1">
      <alignment horizontal="center" vertical="center"/>
    </xf>
    <xf numFmtId="0" fontId="268" fillId="0" borderId="20" xfId="0" applyFont="1" applyBorder="1" applyAlignment="1">
      <alignment horizontal="left" vertical="center"/>
    </xf>
    <xf numFmtId="0" fontId="270" fillId="0" borderId="20" xfId="0" applyFont="1" applyBorder="1" applyAlignment="1" applyProtection="1">
      <alignment horizontal="left" vertical="center"/>
      <protection locked="0"/>
    </xf>
    <xf numFmtId="0" fontId="285" fillId="0" borderId="114" xfId="0" applyFont="1" applyBorder="1"/>
    <xf numFmtId="0" fontId="285" fillId="0" borderId="114" xfId="0" applyFont="1" applyBorder="1" applyAlignment="1">
      <alignment horizontal="left" indent="1"/>
    </xf>
    <xf numFmtId="164" fontId="285" fillId="0" borderId="114" xfId="1" applyNumberFormat="1" applyFont="1" applyBorder="1"/>
    <xf numFmtId="191" fontId="289" fillId="0" borderId="0" xfId="16892" applyNumberFormat="1" applyFont="1"/>
    <xf numFmtId="0" fontId="289" fillId="0" borderId="0" xfId="0" applyFont="1"/>
    <xf numFmtId="191" fontId="287" fillId="124" borderId="0" xfId="16892" quotePrefix="1" applyNumberFormat="1" applyFont="1" applyFill="1" applyBorder="1"/>
    <xf numFmtId="265" fontId="277" fillId="0" borderId="26" xfId="16779" applyNumberFormat="1" applyFont="1" applyFill="1" applyBorder="1" applyAlignment="1">
      <alignment horizontal="right" indent="1"/>
    </xf>
    <xf numFmtId="6" fontId="269" fillId="0" borderId="0" xfId="3" applyNumberFormat="1" applyFont="1"/>
    <xf numFmtId="249" fontId="287" fillId="0" borderId="0" xfId="0" applyNumberFormat="1" applyFont="1"/>
    <xf numFmtId="195" fontId="287" fillId="0" borderId="0" xfId="1" applyNumberFormat="1" applyFont="1"/>
    <xf numFmtId="0" fontId="269" fillId="0" borderId="31" xfId="0" applyFont="1" applyBorder="1" applyAlignment="1">
      <alignment horizontal="center"/>
    </xf>
    <xf numFmtId="0" fontId="303" fillId="119" borderId="18" xfId="0" applyFont="1" applyFill="1" applyBorder="1" applyAlignment="1">
      <alignment horizontal="center"/>
    </xf>
    <xf numFmtId="0" fontId="281" fillId="0" borderId="0" xfId="0" quotePrefix="1" applyFont="1" applyAlignment="1">
      <alignment horizontal="right" vertical="center"/>
    </xf>
    <xf numFmtId="0" fontId="61" fillId="0" borderId="0" xfId="0" quotePrefix="1" applyFont="1" applyAlignment="1">
      <alignment horizontal="right" vertical="center"/>
    </xf>
    <xf numFmtId="0" fontId="275" fillId="0" borderId="27" xfId="3" applyFont="1" applyBorder="1" applyAlignment="1">
      <alignment horizontal="left"/>
    </xf>
    <xf numFmtId="6" fontId="275" fillId="0" borderId="23" xfId="0" applyNumberFormat="1" applyFont="1" applyBorder="1"/>
    <xf numFmtId="264" fontId="44" fillId="118" borderId="48" xfId="0" applyNumberFormat="1" applyFont="1" applyFill="1" applyBorder="1" applyAlignment="1">
      <alignment horizontal="center"/>
    </xf>
    <xf numFmtId="0" fontId="29" fillId="0" borderId="18" xfId="0" applyFont="1" applyBorder="1"/>
    <xf numFmtId="0" fontId="88" fillId="119" borderId="20" xfId="0" applyFont="1" applyFill="1" applyBorder="1" applyAlignment="1" applyProtection="1">
      <alignment horizontal="left" vertical="center"/>
      <protection locked="0"/>
    </xf>
    <xf numFmtId="1" fontId="273" fillId="119" borderId="18" xfId="0" applyNumberFormat="1" applyFont="1" applyFill="1" applyBorder="1" applyAlignment="1" applyProtection="1">
      <alignment horizontal="center" vertical="center"/>
      <protection locked="0"/>
    </xf>
    <xf numFmtId="191" fontId="90" fillId="0" borderId="0" xfId="16890" applyNumberFormat="1" applyFont="1" applyBorder="1"/>
    <xf numFmtId="191" fontId="289" fillId="0" borderId="0" xfId="16890" applyNumberFormat="1" applyFont="1" applyFill="1" applyBorder="1"/>
    <xf numFmtId="3" fontId="90" fillId="0" borderId="0" xfId="0" applyNumberFormat="1" applyFont="1" applyAlignment="1">
      <alignment horizontal="left" indent="1"/>
    </xf>
    <xf numFmtId="191" fontId="90" fillId="0" borderId="0" xfId="16890" applyNumberFormat="1" applyFont="1" applyFill="1" applyBorder="1"/>
    <xf numFmtId="3" fontId="284" fillId="0" borderId="0" xfId="0" applyNumberFormat="1" applyFont="1" applyAlignment="1">
      <alignment horizontal="left" indent="1"/>
    </xf>
    <xf numFmtId="0" fontId="291" fillId="0" borderId="0" xfId="0" applyFont="1" applyAlignment="1">
      <alignment horizontal="left"/>
    </xf>
    <xf numFmtId="0" fontId="292" fillId="118" borderId="0" xfId="3" applyFont="1" applyFill="1" applyAlignment="1">
      <alignment horizontal="right"/>
    </xf>
    <xf numFmtId="6" fontId="292" fillId="118" borderId="0" xfId="16891" applyNumberFormat="1" applyFont="1" applyFill="1"/>
    <xf numFmtId="0" fontId="290" fillId="118" borderId="114" xfId="0" applyFont="1" applyFill="1" applyBorder="1"/>
    <xf numFmtId="0" fontId="292" fillId="118" borderId="114" xfId="3" applyFont="1" applyFill="1" applyBorder="1" applyAlignment="1">
      <alignment horizontal="right"/>
    </xf>
    <xf numFmtId="0" fontId="290" fillId="118" borderId="0" xfId="0" applyFont="1" applyFill="1"/>
    <xf numFmtId="0" fontId="287" fillId="118" borderId="0" xfId="0" applyFont="1" applyFill="1"/>
    <xf numFmtId="0" fontId="305" fillId="118" borderId="0" xfId="0" applyFont="1" applyFill="1"/>
    <xf numFmtId="0" fontId="304" fillId="118" borderId="0" xfId="0" applyFont="1" applyFill="1" applyAlignment="1">
      <alignment horizontal="right"/>
    </xf>
    <xf numFmtId="164" fontId="291" fillId="118" borderId="0" xfId="1" applyNumberFormat="1" applyFont="1" applyFill="1" applyBorder="1"/>
    <xf numFmtId="269" fontId="287" fillId="118" borderId="0" xfId="0" applyNumberFormat="1" applyFont="1" applyFill="1"/>
    <xf numFmtId="0" fontId="290" fillId="118" borderId="23" xfId="0" applyFont="1" applyFill="1" applyBorder="1"/>
    <xf numFmtId="0" fontId="304" fillId="118" borderId="23" xfId="0" applyFont="1" applyFill="1" applyBorder="1" applyAlignment="1">
      <alignment horizontal="right"/>
    </xf>
    <xf numFmtId="164" fontId="291" fillId="118" borderId="23" xfId="1" applyNumberFormat="1" applyFont="1" applyFill="1" applyBorder="1"/>
    <xf numFmtId="264" fontId="288" fillId="129" borderId="116" xfId="0" applyNumberFormat="1" applyFont="1" applyFill="1" applyBorder="1" applyAlignment="1">
      <alignment horizontal="center"/>
    </xf>
    <xf numFmtId="0" fontId="273" fillId="129" borderId="133" xfId="0" applyFont="1" applyFill="1" applyBorder="1" applyAlignment="1">
      <alignment horizontal="centerContinuous"/>
    </xf>
    <xf numFmtId="0" fontId="273" fillId="129" borderId="88" xfId="0" applyFont="1" applyFill="1" applyBorder="1" applyAlignment="1">
      <alignment horizontal="centerContinuous"/>
    </xf>
    <xf numFmtId="6" fontId="273" fillId="129" borderId="134" xfId="0" applyNumberFormat="1" applyFont="1" applyFill="1" applyBorder="1"/>
    <xf numFmtId="0" fontId="274" fillId="129" borderId="135" xfId="0" applyFont="1" applyFill="1" applyBorder="1"/>
    <xf numFmtId="0" fontId="274" fillId="129" borderId="0" xfId="0" applyFont="1" applyFill="1"/>
    <xf numFmtId="6" fontId="268" fillId="0" borderId="48" xfId="0" applyNumberFormat="1" applyFont="1" applyBorder="1"/>
    <xf numFmtId="264" fontId="273" fillId="129" borderId="113" xfId="0" applyNumberFormat="1" applyFont="1" applyFill="1" applyBorder="1" applyAlignment="1">
      <alignment horizontal="center"/>
    </xf>
    <xf numFmtId="264" fontId="273" fillId="129" borderId="136" xfId="0" applyNumberFormat="1" applyFont="1" applyFill="1" applyBorder="1" applyAlignment="1">
      <alignment horizontal="center"/>
    </xf>
    <xf numFmtId="264" fontId="273" fillId="129" borderId="0" xfId="0" applyNumberFormat="1" applyFont="1" applyFill="1" applyAlignment="1">
      <alignment horizontal="center"/>
    </xf>
    <xf numFmtId="264" fontId="273" fillId="129" borderId="137" xfId="0" applyNumberFormat="1" applyFont="1" applyFill="1" applyBorder="1" applyAlignment="1">
      <alignment horizontal="center"/>
    </xf>
    <xf numFmtId="0" fontId="270" fillId="0" borderId="31" xfId="0" applyFont="1" applyBorder="1" applyAlignment="1">
      <alignment horizontal="left"/>
    </xf>
    <xf numFmtId="6" fontId="302" fillId="0" borderId="0" xfId="16891" applyNumberFormat="1" applyFont="1"/>
    <xf numFmtId="0" fontId="306" fillId="0" borderId="29" xfId="3" applyFont="1" applyBorder="1"/>
    <xf numFmtId="0" fontId="240" fillId="127" borderId="112" xfId="0" applyFont="1" applyFill="1" applyBorder="1" applyAlignment="1">
      <alignment horizontal="center"/>
    </xf>
    <xf numFmtId="0" fontId="275" fillId="128" borderId="27" xfId="0" applyFont="1" applyFill="1" applyBorder="1" applyAlignment="1">
      <alignment horizontal="left" indent="1"/>
    </xf>
    <xf numFmtId="277" fontId="275" fillId="128" borderId="23" xfId="16890" applyNumberFormat="1" applyFont="1" applyFill="1" applyBorder="1"/>
    <xf numFmtId="277" fontId="275" fillId="128" borderId="22" xfId="16890" applyNumberFormat="1" applyFont="1" applyFill="1" applyBorder="1"/>
    <xf numFmtId="0" fontId="275" fillId="128" borderId="20" xfId="0" applyFont="1" applyFill="1" applyBorder="1" applyAlignment="1">
      <alignment horizontal="left" indent="1"/>
    </xf>
    <xf numFmtId="277" fontId="275" fillId="128" borderId="21" xfId="16890" applyNumberFormat="1" applyFont="1" applyFill="1" applyBorder="1"/>
    <xf numFmtId="0" fontId="283" fillId="129" borderId="0" xfId="0" applyFont="1" applyFill="1"/>
    <xf numFmtId="0" fontId="283" fillId="0" borderId="0" xfId="0" applyFont="1"/>
    <xf numFmtId="264" fontId="283" fillId="0" borderId="0" xfId="0" applyNumberFormat="1" applyFont="1" applyAlignment="1">
      <alignment horizontal="center"/>
    </xf>
    <xf numFmtId="264" fontId="49" fillId="0" borderId="72" xfId="0" applyNumberFormat="1" applyFont="1" applyBorder="1" applyAlignment="1">
      <alignment horizontal="center" vertical="center" wrapText="1"/>
    </xf>
    <xf numFmtId="264" fontId="301" fillId="0" borderId="72" xfId="0" applyNumberFormat="1" applyFont="1" applyBorder="1" applyAlignment="1">
      <alignment horizontal="center" vertical="center" wrapText="1"/>
    </xf>
    <xf numFmtId="3" fontId="275" fillId="0" borderId="0" xfId="0" applyNumberFormat="1" applyFont="1" applyAlignment="1">
      <alignment horizontal="right" indent="1"/>
    </xf>
    <xf numFmtId="38" fontId="275" fillId="0" borderId="0" xfId="3" applyNumberFormat="1" applyFont="1"/>
    <xf numFmtId="164" fontId="269" fillId="0" borderId="0" xfId="1" applyNumberFormat="1" applyFont="1"/>
    <xf numFmtId="0" fontId="49" fillId="118" borderId="112" xfId="0" applyFont="1" applyFill="1" applyBorder="1" applyAlignment="1" applyProtection="1">
      <alignment horizontal="center"/>
      <protection locked="0"/>
    </xf>
    <xf numFmtId="265" fontId="286" fillId="0" borderId="0" xfId="16779" applyNumberFormat="1" applyFont="1" applyFill="1" applyBorder="1"/>
    <xf numFmtId="6" fontId="292" fillId="0" borderId="0" xfId="16891" applyNumberFormat="1" applyFont="1" applyAlignment="1">
      <alignment horizontal="right"/>
    </xf>
    <xf numFmtId="6" fontId="289" fillId="0" borderId="0" xfId="16891" applyNumberFormat="1" applyFont="1" applyAlignment="1">
      <alignment horizontal="right"/>
    </xf>
    <xf numFmtId="265" fontId="291" fillId="0" borderId="0" xfId="16779" applyNumberFormat="1" applyFont="1" applyFill="1" applyBorder="1" applyAlignment="1">
      <alignment horizontal="right"/>
    </xf>
    <xf numFmtId="164" fontId="293" fillId="0" borderId="0" xfId="1" applyNumberFormat="1" applyFont="1" applyBorder="1" applyAlignment="1">
      <alignment horizontal="right"/>
    </xf>
    <xf numFmtId="164" fontId="293" fillId="0" borderId="23" xfId="1" applyNumberFormat="1" applyFont="1" applyBorder="1" applyAlignment="1">
      <alignment horizontal="right"/>
    </xf>
    <xf numFmtId="0" fontId="300" fillId="118" borderId="121" xfId="0" applyFont="1" applyFill="1" applyBorder="1" applyAlignment="1">
      <alignment vertical="center" wrapText="1"/>
    </xf>
    <xf numFmtId="0" fontId="300" fillId="118" borderId="112" xfId="0" applyFont="1" applyFill="1" applyBorder="1" applyAlignment="1">
      <alignment horizontal="center" vertical="center" wrapText="1"/>
    </xf>
    <xf numFmtId="265" fontId="267" fillId="0" borderId="0" xfId="16779" applyNumberFormat="1" applyFont="1" applyFill="1" applyBorder="1"/>
    <xf numFmtId="0" fontId="29" fillId="0" borderId="21" xfId="0" applyFont="1" applyBorder="1" applyAlignment="1">
      <alignment horizontal="center"/>
    </xf>
    <xf numFmtId="271" fontId="29" fillId="0" borderId="21" xfId="0" applyNumberFormat="1" applyFont="1" applyBorder="1" applyAlignment="1">
      <alignment horizontal="center"/>
    </xf>
    <xf numFmtId="264" fontId="269" fillId="0" borderId="20" xfId="0" applyNumberFormat="1" applyFont="1" applyBorder="1" applyAlignment="1">
      <alignment horizontal="center"/>
    </xf>
    <xf numFmtId="272" fontId="269" fillId="0" borderId="18" xfId="0" applyNumberFormat="1" applyFont="1" applyBorder="1" applyAlignment="1">
      <alignment horizontal="center"/>
    </xf>
    <xf numFmtId="264" fontId="288" fillId="129" borderId="113" xfId="0" applyNumberFormat="1" applyFont="1" applyFill="1" applyBorder="1" applyAlignment="1">
      <alignment horizontal="center"/>
    </xf>
    <xf numFmtId="164" fontId="23" fillId="0" borderId="0" xfId="1" applyNumberFormat="1" applyFont="1" applyFill="1" applyBorder="1" applyAlignment="1" applyProtection="1">
      <alignment horizontal="center"/>
      <protection locked="0"/>
    </xf>
    <xf numFmtId="0" fontId="307" fillId="118" borderId="121" xfId="0" applyFont="1" applyFill="1" applyBorder="1"/>
    <xf numFmtId="0" fontId="307" fillId="118" borderId="112" xfId="0" applyFont="1" applyFill="1" applyBorder="1" applyAlignment="1" applyProtection="1">
      <alignment horizontal="left"/>
      <protection locked="0"/>
    </xf>
    <xf numFmtId="0" fontId="307" fillId="118" borderId="112" xfId="0" applyFont="1" applyFill="1" applyBorder="1" applyAlignment="1" applyProtection="1">
      <alignment horizontal="center"/>
      <protection locked="0"/>
    </xf>
    <xf numFmtId="264" fontId="307" fillId="118" borderId="10" xfId="0" applyNumberFormat="1" applyFont="1" applyFill="1" applyBorder="1" applyAlignment="1">
      <alignment horizontal="center" vertical="distributed"/>
    </xf>
    <xf numFmtId="264" fontId="307" fillId="118" borderId="72" xfId="0" applyNumberFormat="1" applyFont="1" applyFill="1" applyBorder="1" applyAlignment="1">
      <alignment horizontal="center" vertical="distributed"/>
    </xf>
    <xf numFmtId="0" fontId="307" fillId="118" borderId="72" xfId="0" applyFont="1" applyFill="1" applyBorder="1" applyAlignment="1">
      <alignment horizontal="center" vertical="center" wrapText="1"/>
    </xf>
    <xf numFmtId="0" fontId="307" fillId="118" borderId="121" xfId="0" applyFont="1" applyFill="1" applyBorder="1" applyAlignment="1">
      <alignment horizontal="center" vertical="center" wrapText="1"/>
    </xf>
    <xf numFmtId="0" fontId="308" fillId="118" borderId="99" xfId="0" applyFont="1" applyFill="1" applyBorder="1" applyAlignment="1">
      <alignment vertical="center" wrapText="1"/>
    </xf>
    <xf numFmtId="3" fontId="309" fillId="0" borderId="128" xfId="0" applyNumberFormat="1" applyFont="1" applyBorder="1" applyAlignment="1">
      <alignment horizontal="left" vertical="center"/>
    </xf>
    <xf numFmtId="3" fontId="309" fillId="0" borderId="139" xfId="0" applyNumberFormat="1" applyFont="1" applyBorder="1" applyAlignment="1">
      <alignment horizontal="left" vertical="center"/>
    </xf>
    <xf numFmtId="0" fontId="307" fillId="118" borderId="121" xfId="0" applyFont="1" applyFill="1" applyBorder="1" applyProtection="1">
      <protection locked="0"/>
    </xf>
    <xf numFmtId="4" fontId="307" fillId="118" borderId="72" xfId="0" applyNumberFormat="1" applyFont="1" applyFill="1" applyBorder="1" applyAlignment="1" applyProtection="1">
      <alignment horizontal="center" vertical="center" wrapText="1"/>
      <protection locked="0"/>
    </xf>
    <xf numFmtId="0" fontId="307" fillId="118" borderId="72" xfId="0" applyFont="1" applyFill="1" applyBorder="1" applyAlignment="1" applyProtection="1">
      <alignment horizontal="center" vertical="center" wrapText="1"/>
      <protection locked="0"/>
    </xf>
    <xf numFmtId="264" fontId="307" fillId="118" borderId="72" xfId="0" applyNumberFormat="1" applyFont="1" applyFill="1" applyBorder="1" applyAlignment="1" applyProtection="1">
      <alignment horizontal="center" vertical="center"/>
      <protection locked="0"/>
    </xf>
    <xf numFmtId="264" fontId="307" fillId="0" borderId="72" xfId="0" applyNumberFormat="1" applyFont="1" applyBorder="1" applyAlignment="1" applyProtection="1">
      <alignment horizontal="center" vertical="center"/>
      <protection locked="0"/>
    </xf>
    <xf numFmtId="264" fontId="307" fillId="0" borderId="98" xfId="0" applyNumberFormat="1" applyFont="1" applyBorder="1" applyAlignment="1" applyProtection="1">
      <alignment horizontal="center" vertical="center"/>
      <protection locked="0"/>
    </xf>
    <xf numFmtId="3" fontId="310" fillId="0" borderId="125" xfId="0" applyNumberFormat="1" applyFont="1" applyBorder="1" applyAlignment="1" applyProtection="1">
      <alignment horizontal="center" vertical="center"/>
      <protection locked="0"/>
    </xf>
    <xf numFmtId="6" fontId="310" fillId="0" borderId="125" xfId="0" applyNumberFormat="1" applyFont="1" applyBorder="1" applyAlignment="1" applyProtection="1">
      <alignment horizontal="center" vertical="center"/>
      <protection locked="0"/>
    </xf>
    <xf numFmtId="0" fontId="310" fillId="0" borderId="125" xfId="0" applyFont="1" applyBorder="1" applyAlignment="1" applyProtection="1">
      <alignment horizontal="center" vertical="center"/>
      <protection locked="0"/>
    </xf>
    <xf numFmtId="164" fontId="310" fillId="0" borderId="126" xfId="1" applyNumberFormat="1" applyFont="1" applyFill="1" applyBorder="1" applyAlignment="1" applyProtection="1">
      <alignment horizontal="center" vertical="center"/>
      <protection locked="0"/>
    </xf>
    <xf numFmtId="249" fontId="310" fillId="118" borderId="138" xfId="1" applyNumberFormat="1" applyFont="1" applyFill="1" applyBorder="1" applyAlignment="1" applyProtection="1">
      <alignment horizontal="center" vertical="center"/>
      <protection locked="0"/>
    </xf>
    <xf numFmtId="249" fontId="309" fillId="0" borderId="126" xfId="1" applyNumberFormat="1" applyFont="1" applyFill="1" applyBorder="1" applyAlignment="1" applyProtection="1">
      <alignment horizontal="center" vertical="center"/>
      <protection locked="0"/>
    </xf>
    <xf numFmtId="249" fontId="310" fillId="118" borderId="126" xfId="1" applyNumberFormat="1" applyFont="1" applyFill="1" applyBorder="1" applyAlignment="1" applyProtection="1">
      <alignment horizontal="center" vertical="center"/>
      <protection locked="0"/>
    </xf>
    <xf numFmtId="249" fontId="310" fillId="0" borderId="127" xfId="1" applyNumberFormat="1" applyFont="1" applyFill="1" applyBorder="1" applyAlignment="1" applyProtection="1">
      <alignment horizontal="center" vertical="center"/>
      <protection locked="0"/>
    </xf>
    <xf numFmtId="192" fontId="310" fillId="0" borderId="126" xfId="1" applyNumberFormat="1" applyFont="1" applyFill="1" applyBorder="1" applyAlignment="1" applyProtection="1">
      <alignment horizontal="center" vertical="center"/>
      <protection locked="0"/>
    </xf>
    <xf numFmtId="0" fontId="44" fillId="0" borderId="18" xfId="0" applyFont="1" applyBorder="1"/>
    <xf numFmtId="164" fontId="270" fillId="123" borderId="31" xfId="1" applyNumberFormat="1" applyFont="1" applyFill="1" applyBorder="1" applyAlignment="1">
      <alignment horizontal="left"/>
    </xf>
    <xf numFmtId="249" fontId="269" fillId="0" borderId="114" xfId="0" applyNumberFormat="1" applyFont="1" applyBorder="1"/>
    <xf numFmtId="249" fontId="269" fillId="0" borderId="119" xfId="0" applyNumberFormat="1" applyFont="1" applyBorder="1"/>
    <xf numFmtId="1" fontId="309" fillId="0" borderId="71" xfId="0" applyNumberFormat="1" applyFont="1" applyBorder="1" applyAlignment="1">
      <alignment horizontal="center" vertical="center"/>
    </xf>
    <xf numFmtId="1" fontId="309" fillId="0" borderId="128" xfId="0" applyNumberFormat="1" applyFont="1" applyBorder="1" applyAlignment="1">
      <alignment horizontal="center" vertical="center"/>
    </xf>
    <xf numFmtId="1" fontId="309" fillId="0" borderId="101" xfId="0" applyNumberFormat="1" applyFont="1" applyBorder="1" applyAlignment="1">
      <alignment horizontal="center" vertical="center"/>
    </xf>
    <xf numFmtId="1" fontId="309" fillId="0" borderId="140" xfId="0" applyNumberFormat="1" applyFont="1" applyBorder="1" applyAlignment="1">
      <alignment horizontal="center" vertical="center"/>
    </xf>
    <xf numFmtId="1" fontId="309" fillId="0" borderId="139" xfId="0" applyNumberFormat="1" applyFont="1" applyBorder="1" applyAlignment="1">
      <alignment horizontal="center" vertical="center"/>
    </xf>
    <xf numFmtId="1" fontId="309" fillId="0" borderId="141" xfId="0" applyNumberFormat="1" applyFont="1" applyBorder="1" applyAlignment="1">
      <alignment horizontal="center" vertical="center"/>
    </xf>
    <xf numFmtId="0" fontId="284" fillId="0" borderId="0" xfId="0" applyFont="1"/>
    <xf numFmtId="0" fontId="280" fillId="127" borderId="112" xfId="0" applyFont="1" applyFill="1" applyBorder="1" applyAlignment="1">
      <alignment horizontal="center"/>
    </xf>
    <xf numFmtId="0" fontId="280" fillId="127" borderId="72" xfId="0" applyFont="1" applyFill="1" applyBorder="1" applyAlignment="1">
      <alignment horizontal="center"/>
    </xf>
    <xf numFmtId="6" fontId="269" fillId="0" borderId="88" xfId="0" applyNumberFormat="1" applyFont="1" applyBorder="1" applyAlignment="1">
      <alignment horizontal="center"/>
    </xf>
    <xf numFmtId="0" fontId="269" fillId="0" borderId="67" xfId="0" applyFont="1" applyBorder="1" applyAlignment="1">
      <alignment horizontal="center"/>
    </xf>
    <xf numFmtId="6" fontId="269" fillId="0" borderId="67" xfId="0" applyNumberFormat="1" applyFont="1" applyBorder="1" applyAlignment="1">
      <alignment horizontal="center"/>
    </xf>
    <xf numFmtId="0" fontId="312" fillId="0" borderId="0" xfId="0" applyFont="1" applyAlignment="1">
      <alignment horizontal="left" indent="1"/>
    </xf>
    <xf numFmtId="265" fontId="312" fillId="0" borderId="0" xfId="16779" applyNumberFormat="1" applyFont="1" applyFill="1" applyBorder="1" applyAlignment="1">
      <alignment horizontal="center"/>
    </xf>
    <xf numFmtId="0" fontId="312" fillId="0" borderId="0" xfId="0" applyFont="1"/>
    <xf numFmtId="9" fontId="285" fillId="0" borderId="0" xfId="1" applyFont="1" applyAlignment="1">
      <alignment horizontal="left" indent="1"/>
    </xf>
    <xf numFmtId="0" fontId="295" fillId="0" borderId="0" xfId="3" applyFont="1" applyAlignment="1">
      <alignment horizontal="center"/>
    </xf>
    <xf numFmtId="0" fontId="313" fillId="0" borderId="0" xfId="0" quotePrefix="1" applyFont="1"/>
    <xf numFmtId="264" fontId="314" fillId="129" borderId="28" xfId="0" applyNumberFormat="1" applyFont="1" applyFill="1" applyBorder="1" applyAlignment="1">
      <alignment horizontal="center"/>
    </xf>
    <xf numFmtId="264" fontId="314" fillId="129" borderId="113" xfId="0" applyNumberFormat="1" applyFont="1" applyFill="1" applyBorder="1" applyAlignment="1">
      <alignment horizontal="center"/>
    </xf>
    <xf numFmtId="264" fontId="315" fillId="129" borderId="113" xfId="0" applyNumberFormat="1" applyFont="1" applyFill="1" applyBorder="1" applyAlignment="1">
      <alignment horizontal="center"/>
    </xf>
    <xf numFmtId="264" fontId="316" fillId="129" borderId="113" xfId="0" applyNumberFormat="1" applyFont="1" applyFill="1" applyBorder="1" applyAlignment="1">
      <alignment horizontal="center"/>
    </xf>
    <xf numFmtId="0" fontId="317" fillId="132" borderId="0" xfId="0" applyFont="1" applyFill="1"/>
    <xf numFmtId="17" fontId="316" fillId="129" borderId="18" xfId="0" applyNumberFormat="1" applyFont="1" applyFill="1" applyBorder="1" applyAlignment="1" applyProtection="1">
      <alignment horizontal="center" vertical="center"/>
      <protection locked="0"/>
    </xf>
    <xf numFmtId="0" fontId="61" fillId="126" borderId="109" xfId="0" applyFont="1" applyFill="1" applyBorder="1" applyAlignment="1">
      <alignment horizontal="center" vertical="center"/>
    </xf>
    <xf numFmtId="0" fontId="1" fillId="0" borderId="114" xfId="0" applyFont="1" applyBorder="1" applyAlignment="1">
      <alignment horizontal="left" indent="1"/>
    </xf>
    <xf numFmtId="10" fontId="22" fillId="0" borderId="114" xfId="3" applyNumberFormat="1" applyFont="1" applyBorder="1"/>
    <xf numFmtId="10" fontId="295" fillId="0" borderId="0" xfId="3" applyNumberFormat="1" applyFont="1"/>
    <xf numFmtId="6" fontId="277" fillId="0" borderId="0" xfId="0" applyNumberFormat="1" applyFont="1" applyAlignment="1">
      <alignment horizontal="right"/>
    </xf>
    <xf numFmtId="6" fontId="29" fillId="0" borderId="31" xfId="0" applyNumberFormat="1" applyFont="1" applyBorder="1" applyAlignment="1">
      <alignment horizontal="left"/>
    </xf>
    <xf numFmtId="191" fontId="269" fillId="130" borderId="88" xfId="16890" applyNumberFormat="1" applyFont="1" applyFill="1" applyBorder="1"/>
    <xf numFmtId="191" fontId="269" fillId="130" borderId="67" xfId="16890" applyNumberFormat="1" applyFont="1" applyFill="1" applyBorder="1"/>
    <xf numFmtId="191" fontId="275" fillId="130" borderId="48" xfId="16890" applyNumberFormat="1" applyFont="1" applyFill="1" applyBorder="1"/>
    <xf numFmtId="2" fontId="22" fillId="0" borderId="114" xfId="3" applyNumberFormat="1" applyFont="1" applyBorder="1"/>
    <xf numFmtId="2" fontId="295" fillId="0" borderId="0" xfId="3" applyNumberFormat="1" applyFont="1"/>
    <xf numFmtId="0" fontId="29" fillId="0" borderId="48" xfId="0" applyFont="1" applyBorder="1"/>
    <xf numFmtId="14" fontId="270" fillId="123" borderId="18" xfId="0" applyNumberFormat="1" applyFont="1" applyFill="1" applyBorder="1" applyAlignment="1">
      <alignment horizontal="center"/>
    </xf>
    <xf numFmtId="3" fontId="270" fillId="123" borderId="18" xfId="1" applyNumberFormat="1" applyFont="1" applyFill="1" applyBorder="1" applyAlignment="1" applyProtection="1">
      <alignment horizontal="center" vertical="center"/>
    </xf>
    <xf numFmtId="6" fontId="268" fillId="123" borderId="18" xfId="0" applyNumberFormat="1" applyFont="1" applyFill="1" applyBorder="1"/>
    <xf numFmtId="6" fontId="302" fillId="123" borderId="0" xfId="16891" applyNumberFormat="1" applyFont="1" applyFill="1"/>
    <xf numFmtId="191" fontId="284" fillId="123" borderId="0" xfId="16890" applyNumberFormat="1" applyFont="1" applyFill="1" applyBorder="1"/>
    <xf numFmtId="271" fontId="29" fillId="0" borderId="67" xfId="0" applyNumberFormat="1" applyFont="1" applyBorder="1" applyAlignment="1">
      <alignment horizontal="center"/>
    </xf>
    <xf numFmtId="0" fontId="29" fillId="0" borderId="88" xfId="0" applyFont="1" applyBorder="1" applyAlignment="1">
      <alignment horizontal="center"/>
    </xf>
    <xf numFmtId="0" fontId="29" fillId="0" borderId="67" xfId="0" applyFont="1" applyBorder="1" applyAlignment="1">
      <alignment horizontal="center"/>
    </xf>
    <xf numFmtId="0" fontId="269" fillId="0" borderId="67" xfId="3" applyFont="1" applyBorder="1"/>
    <xf numFmtId="0" fontId="29" fillId="0" borderId="48" xfId="0" applyFont="1" applyBorder="1" applyAlignment="1">
      <alignment horizontal="center"/>
    </xf>
    <xf numFmtId="0" fontId="29" fillId="0" borderId="115" xfId="0" applyFont="1" applyBorder="1" applyAlignment="1">
      <alignment horizontal="center"/>
    </xf>
    <xf numFmtId="0" fontId="269" fillId="0" borderId="67" xfId="0" applyFont="1" applyBorder="1"/>
    <xf numFmtId="271" fontId="29" fillId="0" borderId="88" xfId="0" applyNumberFormat="1" applyFont="1" applyBorder="1" applyAlignment="1">
      <alignment horizontal="center"/>
    </xf>
    <xf numFmtId="267" fontId="29" fillId="0" borderId="115" xfId="0" applyNumberFormat="1" applyFont="1" applyBorder="1" applyAlignment="1">
      <alignment horizontal="center"/>
    </xf>
    <xf numFmtId="267" fontId="29" fillId="0" borderId="119" xfId="0" applyNumberFormat="1" applyFont="1" applyBorder="1" applyAlignment="1">
      <alignment horizontal="center"/>
    </xf>
    <xf numFmtId="267" fontId="29" fillId="0" borderId="97" xfId="0" applyNumberFormat="1" applyFont="1" applyBorder="1" applyAlignment="1">
      <alignment horizontal="center"/>
    </xf>
    <xf numFmtId="267" fontId="29" fillId="0" borderId="31" xfId="0" applyNumberFormat="1" applyFont="1" applyBorder="1" applyAlignment="1">
      <alignment horizontal="center"/>
    </xf>
    <xf numFmtId="0" fontId="1" fillId="0" borderId="0" xfId="0" applyFont="1" applyAlignment="1">
      <alignment horizontal="left" indent="1"/>
    </xf>
    <xf numFmtId="0" fontId="1" fillId="0" borderId="0" xfId="0" applyFont="1"/>
    <xf numFmtId="0" fontId="1" fillId="0" borderId="0" xfId="0" applyFont="1" applyAlignment="1">
      <alignment wrapText="1"/>
    </xf>
    <xf numFmtId="6" fontId="1" fillId="0" borderId="0" xfId="0" applyNumberFormat="1" applyFont="1"/>
    <xf numFmtId="249" fontId="284" fillId="0" borderId="0" xfId="0" applyNumberFormat="1" applyFont="1"/>
    <xf numFmtId="249" fontId="1" fillId="0" borderId="0" xfId="0" applyNumberFormat="1" applyFont="1"/>
    <xf numFmtId="0" fontId="282" fillId="0" borderId="21" xfId="0" applyFont="1" applyBorder="1"/>
    <xf numFmtId="0" fontId="1" fillId="0" borderId="21" xfId="0" applyFont="1" applyBorder="1"/>
    <xf numFmtId="0" fontId="285" fillId="0" borderId="21" xfId="0" applyFont="1" applyBorder="1"/>
    <xf numFmtId="9" fontId="295" fillId="0" borderId="0" xfId="1" applyFont="1" applyBorder="1" applyAlignment="1">
      <alignment horizontal="center"/>
    </xf>
    <xf numFmtId="9" fontId="295" fillId="0" borderId="0" xfId="3" applyNumberFormat="1" applyFont="1" applyAlignment="1">
      <alignment horizontal="center"/>
    </xf>
    <xf numFmtId="3" fontId="270" fillId="0" borderId="18" xfId="0" applyNumberFormat="1" applyFont="1" applyBorder="1" applyAlignment="1" applyProtection="1">
      <alignment horizontal="center" vertical="center"/>
      <protection locked="0"/>
    </xf>
    <xf numFmtId="0" fontId="289" fillId="0" borderId="18" xfId="0" applyFont="1" applyBorder="1"/>
    <xf numFmtId="3" fontId="270" fillId="0" borderId="18" xfId="0" applyNumberFormat="1" applyFont="1" applyBorder="1" applyAlignment="1">
      <alignment horizontal="center" vertical="center"/>
    </xf>
    <xf numFmtId="9" fontId="1" fillId="0" borderId="0" xfId="1" applyFont="1" applyAlignment="1">
      <alignment horizontal="right"/>
    </xf>
    <xf numFmtId="0" fontId="269" fillId="0" borderId="88" xfId="0" applyFont="1" applyBorder="1" applyAlignment="1">
      <alignment horizontal="center"/>
    </xf>
    <xf numFmtId="194" fontId="30" fillId="0" borderId="88" xfId="16783" applyNumberFormat="1" applyFont="1" applyFill="1" applyBorder="1" applyAlignment="1">
      <alignment horizontal="center"/>
    </xf>
    <xf numFmtId="194" fontId="30" fillId="0" borderId="67" xfId="16783" applyNumberFormat="1" applyFont="1" applyFill="1" applyBorder="1" applyAlignment="1">
      <alignment horizontal="center"/>
    </xf>
    <xf numFmtId="9" fontId="29" fillId="0" borderId="67" xfId="0" applyNumberFormat="1" applyFont="1" applyBorder="1" applyAlignment="1">
      <alignment horizontal="center"/>
    </xf>
    <xf numFmtId="164" fontId="269" fillId="0" borderId="67" xfId="1" applyNumberFormat="1" applyFont="1" applyFill="1" applyBorder="1" applyAlignment="1">
      <alignment horizontal="center"/>
    </xf>
    <xf numFmtId="249" fontId="295" fillId="0" borderId="0" xfId="3" applyNumberFormat="1" applyFont="1"/>
    <xf numFmtId="249" fontId="22" fillId="0" borderId="114" xfId="3" applyNumberFormat="1" applyFont="1" applyBorder="1"/>
    <xf numFmtId="249" fontId="269" fillId="0" borderId="67" xfId="0" applyNumberFormat="1" applyFont="1" applyBorder="1" applyAlignment="1">
      <alignment horizontal="center"/>
    </xf>
    <xf numFmtId="0" fontId="285" fillId="0" borderId="145" xfId="0" applyFont="1" applyBorder="1"/>
    <xf numFmtId="3" fontId="284" fillId="0" borderId="21" xfId="0" applyNumberFormat="1" applyFont="1" applyBorder="1" applyAlignment="1">
      <alignment horizontal="left" indent="1"/>
    </xf>
    <xf numFmtId="191" fontId="284" fillId="0" borderId="21" xfId="16890" applyNumberFormat="1" applyFont="1" applyFill="1" applyBorder="1"/>
    <xf numFmtId="164" fontId="270" fillId="0" borderId="18" xfId="1" applyNumberFormat="1" applyFont="1" applyFill="1" applyBorder="1" applyAlignment="1" applyProtection="1">
      <alignment horizontal="center" vertical="center"/>
    </xf>
    <xf numFmtId="164" fontId="270" fillId="0" borderId="18" xfId="1" applyNumberFormat="1" applyFont="1" applyFill="1" applyBorder="1" applyAlignment="1" applyProtection="1">
      <alignment horizontal="center" vertical="center"/>
      <protection locked="0"/>
    </xf>
    <xf numFmtId="164" fontId="270" fillId="123" borderId="18" xfId="1" applyNumberFormat="1" applyFont="1" applyFill="1" applyBorder="1" applyAlignment="1" applyProtection="1">
      <alignment horizontal="center" vertical="center"/>
    </xf>
    <xf numFmtId="0" fontId="275" fillId="0" borderId="20" xfId="0" applyFont="1" applyBorder="1" applyAlignment="1" applyProtection="1">
      <alignment horizontal="left" vertical="center"/>
      <protection locked="0"/>
    </xf>
    <xf numFmtId="3" fontId="269" fillId="0" borderId="18" xfId="1" applyNumberFormat="1" applyFont="1" applyFill="1" applyBorder="1" applyAlignment="1" applyProtection="1">
      <alignment horizontal="center" vertical="center"/>
    </xf>
    <xf numFmtId="9" fontId="287" fillId="0" borderId="0" xfId="1" applyFont="1"/>
    <xf numFmtId="10" fontId="287" fillId="0" borderId="0" xfId="1" applyNumberFormat="1" applyFont="1"/>
    <xf numFmtId="0" fontId="307" fillId="118" borderId="122" xfId="0" applyFont="1" applyFill="1" applyBorder="1"/>
    <xf numFmtId="0" fontId="307" fillId="118" borderId="111" xfId="0" applyFont="1" applyFill="1" applyBorder="1" applyAlignment="1" applyProtection="1">
      <alignment horizontal="center"/>
      <protection locked="0"/>
    </xf>
    <xf numFmtId="191" fontId="289" fillId="123" borderId="0" xfId="16890" applyNumberFormat="1" applyFont="1" applyFill="1" applyBorder="1"/>
    <xf numFmtId="191" fontId="284" fillId="123" borderId="21" xfId="16890" applyNumberFormat="1" applyFont="1" applyFill="1" applyBorder="1"/>
    <xf numFmtId="0" fontId="270" fillId="0" borderId="18" xfId="0" applyFont="1" applyBorder="1" applyAlignment="1" applyProtection="1">
      <alignment horizontal="center" vertical="center"/>
      <protection locked="0"/>
    </xf>
    <xf numFmtId="276" fontId="270" fillId="0" borderId="48" xfId="0" applyNumberFormat="1" applyFont="1" applyBorder="1" applyAlignment="1">
      <alignment horizontal="left"/>
    </xf>
    <xf numFmtId="267" fontId="270" fillId="0" borderId="48" xfId="0" applyNumberFormat="1" applyFont="1" applyBorder="1" applyAlignment="1">
      <alignment horizontal="center"/>
    </xf>
    <xf numFmtId="267" fontId="29" fillId="0" borderId="27" xfId="0" applyNumberFormat="1" applyFont="1" applyBorder="1" applyAlignment="1">
      <alignment horizontal="center"/>
    </xf>
    <xf numFmtId="267" fontId="29" fillId="0" borderId="26" xfId="0" applyNumberFormat="1" applyFont="1" applyBorder="1" applyAlignment="1">
      <alignment horizontal="center"/>
    </xf>
    <xf numFmtId="267" fontId="29" fillId="0" borderId="48" xfId="0" applyNumberFormat="1" applyFont="1" applyBorder="1" applyAlignment="1">
      <alignment horizontal="center"/>
    </xf>
    <xf numFmtId="0" fontId="269" fillId="0" borderId="26" xfId="0" applyFont="1" applyBorder="1" applyAlignment="1">
      <alignment horizontal="center"/>
    </xf>
    <xf numFmtId="14" fontId="44" fillId="0" borderId="115" xfId="0" applyNumberFormat="1" applyFont="1" applyBorder="1" applyAlignment="1">
      <alignment horizontal="left" indent="1"/>
    </xf>
    <xf numFmtId="0" fontId="275" fillId="0" borderId="97" xfId="0" applyFont="1" applyBorder="1" applyAlignment="1">
      <alignment horizontal="left" indent="1"/>
    </xf>
    <xf numFmtId="6" fontId="29" fillId="0" borderId="119" xfId="0" applyNumberFormat="1" applyFont="1" applyBorder="1" applyAlignment="1">
      <alignment horizontal="left"/>
    </xf>
    <xf numFmtId="0" fontId="29" fillId="0" borderId="114" xfId="0" applyFont="1" applyBorder="1"/>
    <xf numFmtId="14" fontId="29" fillId="0" borderId="119" xfId="0" applyNumberFormat="1" applyFont="1" applyBorder="1" applyAlignment="1">
      <alignment horizontal="left"/>
    </xf>
    <xf numFmtId="0" fontId="44" fillId="118" borderId="119" xfId="0" applyFont="1" applyFill="1" applyBorder="1" applyAlignment="1">
      <alignment horizontal="centerContinuous"/>
    </xf>
    <xf numFmtId="191" fontId="1" fillId="0" borderId="0" xfId="16890" applyNumberFormat="1" applyFont="1" applyBorder="1"/>
    <xf numFmtId="191" fontId="1" fillId="0" borderId="0" xfId="0" applyNumberFormat="1" applyFont="1"/>
    <xf numFmtId="191" fontId="1" fillId="0" borderId="114" xfId="16890" applyNumberFormat="1" applyFont="1" applyFill="1" applyBorder="1"/>
    <xf numFmtId="9" fontId="1" fillId="0" borderId="0" xfId="1" applyFont="1" applyAlignment="1">
      <alignment horizontal="left" indent="1"/>
    </xf>
    <xf numFmtId="0" fontId="1" fillId="0" borderId="114" xfId="0" applyFont="1" applyBorder="1"/>
    <xf numFmtId="192" fontId="1" fillId="0" borderId="0" xfId="0" applyNumberFormat="1" applyFont="1"/>
    <xf numFmtId="1" fontId="1" fillId="0" borderId="0" xfId="0" applyNumberFormat="1" applyFont="1"/>
    <xf numFmtId="249" fontId="1" fillId="0" borderId="21" xfId="0" applyNumberFormat="1" applyFont="1" applyBorder="1"/>
    <xf numFmtId="0" fontId="1" fillId="0" borderId="0" xfId="0" applyFont="1" applyAlignment="1">
      <alignment horizontal="center"/>
    </xf>
    <xf numFmtId="8" fontId="1" fillId="0" borderId="0" xfId="0" applyNumberFormat="1" applyFont="1"/>
    <xf numFmtId="44" fontId="1" fillId="0" borderId="0" xfId="16893" applyFont="1"/>
    <xf numFmtId="44" fontId="1" fillId="0" borderId="0" xfId="0" applyNumberFormat="1" applyFont="1"/>
    <xf numFmtId="264" fontId="1" fillId="0" borderId="0" xfId="0" applyNumberFormat="1" applyFont="1" applyAlignment="1">
      <alignment horizontal="center"/>
    </xf>
    <xf numFmtId="0" fontId="318" fillId="0" borderId="110" xfId="0" applyFont="1" applyBorder="1"/>
    <xf numFmtId="0" fontId="269" fillId="0" borderId="146" xfId="0" applyFont="1" applyBorder="1"/>
    <xf numFmtId="0" fontId="29" fillId="0" borderId="147" xfId="0" applyFont="1" applyBorder="1" applyAlignment="1">
      <alignment horizontal="center"/>
    </xf>
    <xf numFmtId="271" fontId="29" fillId="0" borderId="146" xfId="0" applyNumberFormat="1" applyFont="1" applyBorder="1" applyAlignment="1">
      <alignment horizontal="center"/>
    </xf>
    <xf numFmtId="264" fontId="269" fillId="0" borderId="146" xfId="0" applyNumberFormat="1" applyFont="1" applyBorder="1" applyAlignment="1">
      <alignment horizontal="center"/>
    </xf>
    <xf numFmtId="264" fontId="269" fillId="0" borderId="148" xfId="0" applyNumberFormat="1" applyFont="1" applyBorder="1" applyAlignment="1">
      <alignment horizontal="center"/>
    </xf>
    <xf numFmtId="272" fontId="269" fillId="0" borderId="146" xfId="0" applyNumberFormat="1" applyFont="1" applyBorder="1" applyAlignment="1">
      <alignment horizontal="center"/>
    </xf>
    <xf numFmtId="264" fontId="319" fillId="0" borderId="72" xfId="0" applyNumberFormat="1" applyFont="1" applyBorder="1" applyAlignment="1" applyProtection="1">
      <alignment horizontal="center" vertical="center"/>
      <protection locked="0"/>
    </xf>
    <xf numFmtId="264" fontId="319" fillId="118" borderId="72" xfId="0" applyNumberFormat="1" applyFont="1" applyFill="1" applyBorder="1" applyAlignment="1">
      <alignment horizontal="center" vertical="distributed"/>
    </xf>
    <xf numFmtId="164" fontId="310" fillId="124" borderId="126" xfId="1" applyNumberFormat="1" applyFont="1" applyFill="1" applyBorder="1" applyAlignment="1" applyProtection="1">
      <alignment horizontal="center" vertical="center"/>
      <protection locked="0"/>
    </xf>
    <xf numFmtId="0" fontId="270" fillId="0" borderId="48" xfId="0" applyFont="1" applyBorder="1" applyAlignment="1">
      <alignment horizontal="center"/>
    </xf>
    <xf numFmtId="6" fontId="275" fillId="0" borderId="26" xfId="0" applyNumberFormat="1" applyFont="1" applyBorder="1"/>
    <xf numFmtId="0" fontId="270" fillId="0" borderId="150" xfId="0" applyFont="1" applyBorder="1" applyAlignment="1">
      <alignment horizontal="center" wrapText="1"/>
    </xf>
    <xf numFmtId="10" fontId="270" fillId="0" borderId="18" xfId="0" applyNumberFormat="1" applyFont="1" applyBorder="1" applyAlignment="1">
      <alignment horizontal="center"/>
    </xf>
    <xf numFmtId="0" fontId="270" fillId="0" borderId="18" xfId="0" applyFont="1" applyBorder="1" applyAlignment="1">
      <alignment horizontal="center" wrapText="1"/>
    </xf>
    <xf numFmtId="0" fontId="322" fillId="0" borderId="0" xfId="0" applyFont="1"/>
    <xf numFmtId="191" fontId="284" fillId="0" borderId="0" xfId="0" applyNumberFormat="1" applyFont="1"/>
    <xf numFmtId="10" fontId="284" fillId="0" borderId="0" xfId="0" applyNumberFormat="1" applyFont="1"/>
    <xf numFmtId="6" fontId="284" fillId="0" borderId="0" xfId="0" applyNumberFormat="1" applyFont="1" applyAlignment="1">
      <alignment wrapText="1"/>
    </xf>
    <xf numFmtId="249" fontId="284" fillId="0" borderId="21" xfId="0" applyNumberFormat="1" applyFont="1" applyBorder="1"/>
    <xf numFmtId="0" fontId="284" fillId="0" borderId="21" xfId="0" applyFont="1" applyBorder="1"/>
    <xf numFmtId="1" fontId="284" fillId="0" borderId="0" xfId="0" applyNumberFormat="1" applyFont="1"/>
    <xf numFmtId="1" fontId="285" fillId="0" borderId="114" xfId="1" applyNumberFormat="1" applyFont="1" applyBorder="1"/>
    <xf numFmtId="1" fontId="324" fillId="0" borderId="0" xfId="0" applyNumberFormat="1" applyFont="1"/>
    <xf numFmtId="9" fontId="295" fillId="0" borderId="0" xfId="3" applyNumberFormat="1" applyFont="1"/>
    <xf numFmtId="0" fontId="284" fillId="0" borderId="0" xfId="0" applyFont="1" applyAlignment="1">
      <alignment wrapText="1"/>
    </xf>
    <xf numFmtId="0" fontId="285" fillId="0" borderId="114" xfId="0" applyFont="1" applyBorder="1" applyAlignment="1">
      <alignment wrapText="1"/>
    </xf>
    <xf numFmtId="6" fontId="22" fillId="0" borderId="114" xfId="3" applyNumberFormat="1" applyFont="1" applyBorder="1"/>
    <xf numFmtId="6" fontId="284" fillId="0" borderId="0" xfId="0" applyNumberFormat="1" applyFont="1" applyAlignment="1">
      <alignment horizontal="right"/>
    </xf>
    <xf numFmtId="0" fontId="270" fillId="0" borderId="48" xfId="0" applyFont="1" applyBorder="1"/>
    <xf numFmtId="1" fontId="295" fillId="0" borderId="0" xfId="0" applyNumberFormat="1" applyFont="1"/>
    <xf numFmtId="249" fontId="29" fillId="0" borderId="67" xfId="16892" applyNumberFormat="1" applyFont="1" applyFill="1" applyBorder="1" applyAlignment="1">
      <alignment horizontal="center"/>
    </xf>
    <xf numFmtId="10" fontId="1" fillId="0" borderId="0" xfId="0" applyNumberFormat="1" applyFont="1"/>
    <xf numFmtId="1" fontId="29" fillId="0" borderId="67" xfId="16783" applyNumberFormat="1" applyFont="1" applyFill="1" applyBorder="1" applyAlignment="1">
      <alignment horizontal="center"/>
    </xf>
    <xf numFmtId="249" fontId="269" fillId="0" borderId="146" xfId="0" applyNumberFormat="1" applyFont="1" applyBorder="1" applyAlignment="1">
      <alignment horizontal="center"/>
    </xf>
    <xf numFmtId="0" fontId="269" fillId="0" borderId="146" xfId="0" applyFont="1" applyBorder="1" applyAlignment="1">
      <alignment horizontal="center"/>
    </xf>
    <xf numFmtId="194" fontId="30" fillId="0" borderId="146" xfId="16783" applyNumberFormat="1" applyFont="1" applyFill="1" applyBorder="1" applyAlignment="1">
      <alignment horizontal="center"/>
    </xf>
    <xf numFmtId="1" fontId="285" fillId="0" borderId="114" xfId="1" applyNumberFormat="1" applyFont="1" applyFill="1" applyBorder="1"/>
    <xf numFmtId="0" fontId="270" fillId="123" borderId="0" xfId="0" applyFont="1" applyFill="1" applyAlignment="1">
      <alignment horizontal="left"/>
    </xf>
    <xf numFmtId="0" fontId="273" fillId="117" borderId="82" xfId="0" applyFont="1" applyFill="1" applyBorder="1" applyAlignment="1">
      <alignment horizontal="center"/>
    </xf>
    <xf numFmtId="6" fontId="29" fillId="0" borderId="88" xfId="0" applyNumberFormat="1" applyFont="1" applyBorder="1" applyAlignment="1">
      <alignment horizontal="center"/>
    </xf>
    <xf numFmtId="6" fontId="29" fillId="0" borderId="67" xfId="0" applyNumberFormat="1" applyFont="1" applyBorder="1" applyAlignment="1">
      <alignment horizontal="center"/>
    </xf>
    <xf numFmtId="0" fontId="280" fillId="127" borderId="100" xfId="0" applyFont="1" applyFill="1" applyBorder="1" applyAlignment="1">
      <alignment horizontal="center" vertical="center"/>
    </xf>
    <xf numFmtId="3" fontId="270" fillId="124" borderId="18" xfId="1" applyNumberFormat="1" applyFont="1" applyFill="1" applyBorder="1" applyAlignment="1" applyProtection="1">
      <alignment horizontal="center" vertical="center"/>
    </xf>
    <xf numFmtId="0" fontId="270" fillId="123" borderId="0" xfId="0" applyFont="1" applyFill="1" applyAlignment="1">
      <alignment horizontal="left"/>
    </xf>
    <xf numFmtId="0" fontId="270" fillId="123" borderId="31" xfId="0" applyFont="1" applyFill="1" applyBorder="1" applyAlignment="1">
      <alignment horizontal="left"/>
    </xf>
    <xf numFmtId="14" fontId="270" fillId="0" borderId="23" xfId="1" applyNumberFormat="1" applyFont="1" applyFill="1" applyBorder="1" applyAlignment="1">
      <alignment horizontal="left" indent="4"/>
    </xf>
    <xf numFmtId="14" fontId="270" fillId="0" borderId="26" xfId="1" applyNumberFormat="1" applyFont="1" applyFill="1" applyBorder="1" applyAlignment="1">
      <alignment horizontal="left" indent="4"/>
    </xf>
    <xf numFmtId="0" fontId="44" fillId="118" borderId="20" xfId="0" applyFont="1" applyFill="1" applyBorder="1"/>
    <xf numFmtId="0" fontId="44" fillId="118" borderId="22" xfId="0" applyFont="1" applyFill="1" applyBorder="1"/>
    <xf numFmtId="0" fontId="270" fillId="0" borderId="20" xfId="0" applyFont="1" applyBorder="1" applyAlignment="1">
      <alignment horizontal="center"/>
    </xf>
    <xf numFmtId="0" fontId="270" fillId="0" borderId="22" xfId="0" applyFont="1" applyBorder="1" applyAlignment="1">
      <alignment horizontal="center"/>
    </xf>
    <xf numFmtId="0" fontId="273" fillId="117" borderId="82" xfId="0" applyFont="1" applyFill="1" applyBorder="1" applyAlignment="1">
      <alignment horizontal="center"/>
    </xf>
    <xf numFmtId="0" fontId="273" fillId="117" borderId="28" xfId="0" applyFont="1" applyFill="1" applyBorder="1" applyAlignment="1">
      <alignment horizontal="center"/>
    </xf>
    <xf numFmtId="0" fontId="270" fillId="0" borderId="27" xfId="0" applyFont="1" applyBorder="1" applyAlignment="1">
      <alignment horizontal="center"/>
    </xf>
    <xf numFmtId="0" fontId="270" fillId="0" borderId="26" xfId="0" applyFont="1" applyBorder="1" applyAlignment="1">
      <alignment horizontal="center"/>
    </xf>
    <xf numFmtId="0" fontId="273" fillId="122" borderId="20" xfId="0" applyFont="1" applyFill="1" applyBorder="1" applyAlignment="1">
      <alignment horizontal="center"/>
    </xf>
    <xf numFmtId="0" fontId="273" fillId="122" borderId="21" xfId="0" applyFont="1" applyFill="1" applyBorder="1" applyAlignment="1">
      <alignment horizontal="center"/>
    </xf>
    <xf numFmtId="0" fontId="273" fillId="122" borderId="22" xfId="0" applyFont="1" applyFill="1" applyBorder="1" applyAlignment="1">
      <alignment horizontal="center"/>
    </xf>
    <xf numFmtId="0" fontId="44" fillId="118" borderId="20" xfId="3" applyFont="1" applyFill="1" applyBorder="1" applyAlignment="1">
      <alignment horizontal="center" wrapText="1"/>
    </xf>
    <xf numFmtId="0" fontId="44" fillId="118" borderId="21" xfId="3" applyFont="1" applyFill="1" applyBorder="1" applyAlignment="1">
      <alignment horizontal="center" wrapText="1"/>
    </xf>
    <xf numFmtId="0" fontId="44" fillId="118" borderId="22" xfId="3" applyFont="1" applyFill="1" applyBorder="1" applyAlignment="1">
      <alignment horizontal="center" wrapText="1"/>
    </xf>
    <xf numFmtId="249" fontId="325" fillId="0" borderId="67" xfId="16892" applyNumberFormat="1" applyFont="1" applyFill="1" applyBorder="1" applyAlignment="1">
      <alignment horizontal="center"/>
    </xf>
    <xf numFmtId="1" fontId="269" fillId="0" borderId="67" xfId="1" applyNumberFormat="1" applyFont="1" applyFill="1" applyBorder="1" applyAlignment="1">
      <alignment horizontal="center" vertical="center" wrapText="1"/>
    </xf>
    <xf numFmtId="249" fontId="325" fillId="0" borderId="97" xfId="0" applyNumberFormat="1" applyFont="1" applyBorder="1" applyAlignment="1">
      <alignment horizontal="center"/>
    </xf>
    <xf numFmtId="249" fontId="325" fillId="0" borderId="31" xfId="0" applyNumberFormat="1" applyFont="1" applyBorder="1" applyAlignment="1">
      <alignment horizontal="center"/>
    </xf>
    <xf numFmtId="264" fontId="44" fillId="118" borderId="20" xfId="3" applyNumberFormat="1" applyFont="1" applyFill="1" applyBorder="1" applyAlignment="1">
      <alignment horizontal="center"/>
    </xf>
    <xf numFmtId="264" fontId="44" fillId="118" borderId="22" xfId="3" applyNumberFormat="1" applyFont="1" applyFill="1" applyBorder="1" applyAlignment="1">
      <alignment horizontal="center"/>
    </xf>
    <xf numFmtId="6" fontId="29" fillId="0" borderId="88" xfId="0" applyNumberFormat="1" applyFont="1" applyBorder="1" applyAlignment="1">
      <alignment horizontal="center"/>
    </xf>
    <xf numFmtId="6" fontId="29" fillId="0" borderId="67" xfId="0" applyNumberFormat="1" applyFont="1" applyBorder="1" applyAlignment="1">
      <alignment horizontal="center"/>
    </xf>
    <xf numFmtId="10" fontId="29" fillId="0" borderId="67" xfId="0" applyNumberFormat="1" applyFont="1" applyBorder="1" applyAlignment="1">
      <alignment horizontal="center"/>
    </xf>
    <xf numFmtId="0" fontId="44" fillId="118" borderId="20" xfId="3" applyFont="1" applyFill="1" applyBorder="1" applyAlignment="1">
      <alignment horizontal="center"/>
    </xf>
    <xf numFmtId="0" fontId="44" fillId="118" borderId="21" xfId="3" applyFont="1" applyFill="1" applyBorder="1" applyAlignment="1">
      <alignment horizontal="center"/>
    </xf>
    <xf numFmtId="0" fontId="44" fillId="118" borderId="22" xfId="3" applyFont="1" applyFill="1" applyBorder="1" applyAlignment="1">
      <alignment horizontal="center"/>
    </xf>
    <xf numFmtId="0" fontId="277" fillId="0" borderId="115" xfId="3" applyFont="1" applyBorder="1" applyAlignment="1">
      <alignment horizontal="left" vertical="top" wrapText="1"/>
    </xf>
    <xf numFmtId="0" fontId="277" fillId="0" borderId="114" xfId="3" applyFont="1" applyBorder="1" applyAlignment="1">
      <alignment horizontal="left" vertical="top" wrapText="1"/>
    </xf>
    <xf numFmtId="0" fontId="277" fillId="0" borderId="119" xfId="3" applyFont="1" applyBorder="1" applyAlignment="1">
      <alignment horizontal="left" vertical="top" wrapText="1"/>
    </xf>
    <xf numFmtId="0" fontId="277" fillId="0" borderId="97" xfId="3" applyFont="1" applyBorder="1" applyAlignment="1">
      <alignment horizontal="left" vertical="top" wrapText="1"/>
    </xf>
    <xf numFmtId="0" fontId="277" fillId="0" borderId="0" xfId="3" applyFont="1" applyAlignment="1">
      <alignment horizontal="left" vertical="top" wrapText="1"/>
    </xf>
    <xf numFmtId="0" fontId="277" fillId="0" borderId="31" xfId="3" applyFont="1" applyBorder="1" applyAlignment="1">
      <alignment horizontal="left" vertical="top" wrapText="1"/>
    </xf>
    <xf numFmtId="0" fontId="277" fillId="0" borderId="27" xfId="3" applyFont="1" applyBorder="1" applyAlignment="1">
      <alignment horizontal="left" vertical="top" wrapText="1"/>
    </xf>
    <xf numFmtId="0" fontId="277" fillId="0" borderId="23" xfId="3" applyFont="1" applyBorder="1" applyAlignment="1">
      <alignment horizontal="left" vertical="top" wrapText="1"/>
    </xf>
    <xf numFmtId="0" fontId="277" fillId="0" borderId="26" xfId="3" applyFont="1" applyBorder="1" applyAlignment="1">
      <alignment horizontal="left" vertical="top" wrapText="1"/>
    </xf>
    <xf numFmtId="2" fontId="325" fillId="0" borderId="146" xfId="0" applyNumberFormat="1" applyFont="1" applyBorder="1" applyAlignment="1">
      <alignment horizontal="center"/>
    </xf>
    <xf numFmtId="267" fontId="270" fillId="0" borderId="0" xfId="0" applyNumberFormat="1" applyFont="1" applyAlignment="1">
      <alignment horizontal="left" indent="2"/>
    </xf>
    <xf numFmtId="267" fontId="270" fillId="0" borderId="31" xfId="0" applyNumberFormat="1" applyFont="1" applyBorder="1" applyAlignment="1">
      <alignment horizontal="left" indent="2"/>
    </xf>
    <xf numFmtId="267" fontId="269" fillId="0" borderId="0" xfId="0" applyNumberFormat="1" applyFont="1" applyAlignment="1">
      <alignment horizontal="left" indent="2"/>
    </xf>
    <xf numFmtId="267" fontId="269" fillId="0" borderId="31" xfId="0" applyNumberFormat="1" applyFont="1" applyBorder="1" applyAlignment="1">
      <alignment horizontal="left" indent="2"/>
    </xf>
    <xf numFmtId="0" fontId="273" fillId="117" borderId="94" xfId="0" applyFont="1" applyFill="1" applyBorder="1" applyAlignment="1">
      <alignment horizontal="center"/>
    </xf>
    <xf numFmtId="0" fontId="273" fillId="117" borderId="95" xfId="0" applyFont="1" applyFill="1" applyBorder="1" applyAlignment="1">
      <alignment horizontal="center"/>
    </xf>
    <xf numFmtId="0" fontId="273" fillId="117" borderId="96" xfId="0" applyFont="1" applyFill="1" applyBorder="1" applyAlignment="1">
      <alignment horizontal="center"/>
    </xf>
    <xf numFmtId="14" fontId="269" fillId="0" borderId="115" xfId="0" applyNumberFormat="1" applyFont="1" applyBorder="1" applyAlignment="1">
      <alignment horizontal="center"/>
    </xf>
    <xf numFmtId="14" fontId="269" fillId="0" borderId="119" xfId="0" applyNumberFormat="1" applyFont="1" applyBorder="1" applyAlignment="1">
      <alignment horizontal="center"/>
    </xf>
    <xf numFmtId="14" fontId="269" fillId="0" borderId="27" xfId="0" applyNumberFormat="1" applyFont="1" applyBorder="1" applyAlignment="1">
      <alignment horizontal="center"/>
    </xf>
    <xf numFmtId="14" fontId="269" fillId="0" borderId="26" xfId="0" applyNumberFormat="1" applyFont="1" applyBorder="1" applyAlignment="1">
      <alignment horizontal="center"/>
    </xf>
    <xf numFmtId="164" fontId="270" fillId="0" borderId="114" xfId="1" applyNumberFormat="1" applyFont="1" applyFill="1" applyBorder="1" applyAlignment="1">
      <alignment horizontal="left" indent="4"/>
    </xf>
    <xf numFmtId="164" fontId="270" fillId="0" borderId="119" xfId="1" applyNumberFormat="1" applyFont="1" applyFill="1" applyBorder="1" applyAlignment="1">
      <alignment horizontal="left" indent="4"/>
    </xf>
    <xf numFmtId="14" fontId="269" fillId="0" borderId="20" xfId="0" applyNumberFormat="1" applyFont="1" applyBorder="1" applyAlignment="1">
      <alignment horizontal="center"/>
    </xf>
    <xf numFmtId="14" fontId="269" fillId="0" borderId="22" xfId="0" applyNumberFormat="1" applyFont="1" applyBorder="1" applyAlignment="1">
      <alignment horizontal="center"/>
    </xf>
    <xf numFmtId="14" fontId="269" fillId="0" borderId="97" xfId="0" applyNumberFormat="1" applyFont="1" applyBorder="1" applyAlignment="1">
      <alignment horizontal="center"/>
    </xf>
    <xf numFmtId="14" fontId="269" fillId="0" borderId="31" xfId="0" applyNumberFormat="1" applyFont="1" applyBorder="1" applyAlignment="1">
      <alignment horizontal="center"/>
    </xf>
    <xf numFmtId="0" fontId="269" fillId="0" borderId="0" xfId="0" applyFont="1" applyAlignment="1">
      <alignment horizontal="center"/>
    </xf>
    <xf numFmtId="0" fontId="273" fillId="122" borderId="20" xfId="0" quotePrefix="1" applyFont="1" applyFill="1" applyBorder="1" applyAlignment="1">
      <alignment horizontal="center"/>
    </xf>
    <xf numFmtId="14" fontId="269" fillId="0" borderId="148" xfId="0" applyNumberFormat="1" applyFont="1" applyBorder="1" applyAlignment="1">
      <alignment horizontal="center"/>
    </xf>
    <xf numFmtId="14" fontId="269" fillId="0" borderId="149" xfId="0" applyNumberFormat="1" applyFont="1" applyBorder="1" applyAlignment="1">
      <alignment horizontal="center"/>
    </xf>
    <xf numFmtId="0" fontId="275" fillId="130" borderId="20" xfId="0" applyFont="1" applyFill="1" applyBorder="1" applyAlignment="1">
      <alignment horizontal="center"/>
    </xf>
    <xf numFmtId="0" fontId="275" fillId="130" borderId="21" xfId="0" applyFont="1" applyFill="1" applyBorder="1" applyAlignment="1">
      <alignment horizontal="center"/>
    </xf>
    <xf numFmtId="0" fontId="275" fillId="130" borderId="22" xfId="0" applyFont="1" applyFill="1" applyBorder="1" applyAlignment="1">
      <alignment horizontal="center"/>
    </xf>
    <xf numFmtId="0" fontId="272" fillId="0" borderId="10" xfId="3" applyFont="1" applyBorder="1" applyAlignment="1">
      <alignment horizontal="center"/>
    </xf>
    <xf numFmtId="0" fontId="272" fillId="0" borderId="0" xfId="3" applyFont="1" applyAlignment="1">
      <alignment horizontal="center"/>
    </xf>
    <xf numFmtId="0" fontId="272" fillId="0" borderId="29" xfId="3" applyFont="1" applyBorder="1" applyAlignment="1">
      <alignment horizontal="center"/>
    </xf>
    <xf numFmtId="0" fontId="269" fillId="0" borderId="115" xfId="0" applyFont="1" applyBorder="1" applyAlignment="1">
      <alignment horizontal="left" vertical="top" wrapText="1"/>
    </xf>
    <xf numFmtId="0" fontId="269" fillId="0" borderId="114" xfId="0" applyFont="1" applyBorder="1" applyAlignment="1">
      <alignment horizontal="left" vertical="top" wrapText="1"/>
    </xf>
    <xf numFmtId="0" fontId="269" fillId="0" borderId="119" xfId="0" applyFont="1" applyBorder="1" applyAlignment="1">
      <alignment horizontal="left" vertical="top" wrapText="1"/>
    </xf>
    <xf numFmtId="0" fontId="269" fillId="0" borderId="97" xfId="0" applyFont="1" applyBorder="1" applyAlignment="1">
      <alignment horizontal="left" vertical="top" wrapText="1"/>
    </xf>
    <xf numFmtId="0" fontId="269" fillId="0" borderId="0" xfId="0" applyFont="1" applyAlignment="1">
      <alignment horizontal="left" vertical="top" wrapText="1"/>
    </xf>
    <xf numFmtId="0" fontId="269" fillId="0" borderId="31" xfId="0" applyFont="1" applyBorder="1" applyAlignment="1">
      <alignment horizontal="left" vertical="top" wrapText="1"/>
    </xf>
    <xf numFmtId="0" fontId="269" fillId="0" borderId="27" xfId="0" applyFont="1" applyBorder="1" applyAlignment="1">
      <alignment horizontal="left" vertical="top" wrapText="1"/>
    </xf>
    <xf numFmtId="0" fontId="269" fillId="0" borderId="23" xfId="0" applyFont="1" applyBorder="1" applyAlignment="1">
      <alignment horizontal="left" vertical="top" wrapText="1"/>
    </xf>
    <xf numFmtId="0" fontId="269" fillId="0" borderId="26" xfId="0" applyFont="1" applyBorder="1" applyAlignment="1">
      <alignment horizontal="left" vertical="top" wrapText="1"/>
    </xf>
    <xf numFmtId="0" fontId="276" fillId="0" borderId="115" xfId="0" applyFont="1" applyBorder="1" applyAlignment="1">
      <alignment horizontal="left" vertical="top" wrapText="1"/>
    </xf>
    <xf numFmtId="0" fontId="277" fillId="0" borderId="114" xfId="0" applyFont="1" applyBorder="1" applyAlignment="1">
      <alignment horizontal="left" vertical="top" wrapText="1"/>
    </xf>
    <xf numFmtId="0" fontId="277" fillId="0" borderId="119" xfId="0" applyFont="1" applyBorder="1" applyAlignment="1">
      <alignment horizontal="left" vertical="top" wrapText="1"/>
    </xf>
    <xf numFmtId="0" fontId="277" fillId="0" borderId="97" xfId="0" applyFont="1" applyBorder="1" applyAlignment="1">
      <alignment horizontal="left" vertical="top" wrapText="1"/>
    </xf>
    <xf numFmtId="0" fontId="277" fillId="0" borderId="0" xfId="0" applyFont="1" applyAlignment="1">
      <alignment horizontal="left" vertical="top" wrapText="1"/>
    </xf>
    <xf numFmtId="0" fontId="277" fillId="0" borderId="31" xfId="0" applyFont="1" applyBorder="1" applyAlignment="1">
      <alignment horizontal="left" vertical="top" wrapText="1"/>
    </xf>
    <xf numFmtId="0" fontId="277" fillId="0" borderId="27" xfId="0" applyFont="1" applyBorder="1" applyAlignment="1">
      <alignment horizontal="left" vertical="top" wrapText="1"/>
    </xf>
    <xf numFmtId="0" fontId="277" fillId="0" borderId="23" xfId="0" applyFont="1" applyBorder="1" applyAlignment="1">
      <alignment horizontal="left" vertical="top" wrapText="1"/>
    </xf>
    <xf numFmtId="0" fontId="277" fillId="0" borderId="26" xfId="0" applyFont="1" applyBorder="1" applyAlignment="1">
      <alignment horizontal="left" vertical="top" wrapText="1"/>
    </xf>
    <xf numFmtId="267" fontId="269" fillId="0" borderId="23" xfId="0" applyNumberFormat="1" applyFont="1" applyBorder="1" applyAlignment="1">
      <alignment horizontal="left" indent="2"/>
    </xf>
    <xf numFmtId="267" fontId="269" fillId="0" borderId="26" xfId="0" applyNumberFormat="1" applyFont="1" applyBorder="1" applyAlignment="1">
      <alignment horizontal="left" indent="2"/>
    </xf>
    <xf numFmtId="0" fontId="273" fillId="117" borderId="20" xfId="0" applyFont="1" applyFill="1" applyBorder="1" applyAlignment="1">
      <alignment horizontal="center"/>
    </xf>
    <xf numFmtId="0" fontId="273" fillId="117" borderId="21" xfId="0" applyFont="1" applyFill="1" applyBorder="1" applyAlignment="1">
      <alignment horizontal="center"/>
    </xf>
    <xf numFmtId="0" fontId="273" fillId="117" borderId="22" xfId="0" applyFont="1" applyFill="1" applyBorder="1" applyAlignment="1">
      <alignment horizontal="center"/>
    </xf>
    <xf numFmtId="266" fontId="270" fillId="0" borderId="0" xfId="1" applyNumberFormat="1" applyFont="1" applyFill="1" applyBorder="1" applyAlignment="1">
      <alignment horizontal="left" indent="2"/>
    </xf>
    <xf numFmtId="266" fontId="270" fillId="0" borderId="31" xfId="1" applyNumberFormat="1" applyFont="1" applyFill="1" applyBorder="1" applyAlignment="1">
      <alignment horizontal="left" indent="2"/>
    </xf>
    <xf numFmtId="273" fontId="270" fillId="0" borderId="114" xfId="1" applyNumberFormat="1" applyFont="1" applyFill="1" applyBorder="1" applyAlignment="1">
      <alignment horizontal="left" indent="2"/>
    </xf>
    <xf numFmtId="273" fontId="270" fillId="0" borderId="119" xfId="1" applyNumberFormat="1" applyFont="1" applyFill="1" applyBorder="1" applyAlignment="1">
      <alignment horizontal="left" indent="2"/>
    </xf>
    <xf numFmtId="6" fontId="270" fillId="0" borderId="0" xfId="0" applyNumberFormat="1" applyFont="1" applyAlignment="1">
      <alignment horizontal="left" indent="4"/>
    </xf>
    <xf numFmtId="6" fontId="270" fillId="0" borderId="31" xfId="0" applyNumberFormat="1" applyFont="1" applyBorder="1" applyAlignment="1">
      <alignment horizontal="left" indent="4"/>
    </xf>
    <xf numFmtId="268" fontId="270" fillId="0" borderId="0" xfId="0" applyNumberFormat="1" applyFont="1" applyAlignment="1">
      <alignment horizontal="left" indent="4"/>
    </xf>
    <xf numFmtId="268" fontId="270" fillId="0" borderId="31" xfId="0" applyNumberFormat="1" applyFont="1" applyBorder="1" applyAlignment="1">
      <alignment horizontal="left" indent="4"/>
    </xf>
    <xf numFmtId="268" fontId="29" fillId="0" borderId="23" xfId="0" applyNumberFormat="1" applyFont="1" applyBorder="1" applyAlignment="1">
      <alignment horizontal="left" indent="4"/>
    </xf>
    <xf numFmtId="268" fontId="29" fillId="0" borderId="26" xfId="0" applyNumberFormat="1" applyFont="1" applyBorder="1" applyAlignment="1">
      <alignment horizontal="left" indent="4"/>
    </xf>
    <xf numFmtId="14" fontId="270" fillId="0" borderId="114" xfId="0" applyNumberFormat="1" applyFont="1" applyBorder="1" applyAlignment="1">
      <alignment horizontal="left" indent="4"/>
    </xf>
    <xf numFmtId="14" fontId="270" fillId="0" borderId="119" xfId="0" applyNumberFormat="1" applyFont="1" applyBorder="1" applyAlignment="1">
      <alignment horizontal="left" indent="4"/>
    </xf>
    <xf numFmtId="0" fontId="268" fillId="0" borderId="20" xfId="0" applyFont="1" applyBorder="1" applyAlignment="1">
      <alignment horizontal="center"/>
    </xf>
    <xf numFmtId="0" fontId="268" fillId="0" borderId="22" xfId="0" applyFont="1" applyBorder="1" applyAlignment="1">
      <alignment horizontal="center"/>
    </xf>
    <xf numFmtId="0" fontId="44" fillId="0" borderId="20" xfId="0" applyFont="1" applyBorder="1" applyAlignment="1">
      <alignment horizontal="center"/>
    </xf>
    <xf numFmtId="0" fontId="44" fillId="0" borderId="22" xfId="0" applyFont="1" applyBorder="1" applyAlignment="1">
      <alignment horizontal="center"/>
    </xf>
    <xf numFmtId="0" fontId="280" fillId="127" borderId="99" xfId="0" applyFont="1" applyFill="1" applyBorder="1" applyAlignment="1">
      <alignment horizontal="center"/>
    </xf>
    <xf numFmtId="0" fontId="280" fillId="127" borderId="13" xfId="0" applyFont="1" applyFill="1" applyBorder="1" applyAlignment="1">
      <alignment horizontal="center"/>
    </xf>
    <xf numFmtId="0" fontId="280" fillId="127" borderId="98" xfId="0" applyFont="1" applyFill="1" applyBorder="1" applyAlignment="1">
      <alignment horizontal="center"/>
    </xf>
    <xf numFmtId="0" fontId="280" fillId="127" borderId="101" xfId="0" applyFont="1" applyFill="1" applyBorder="1" applyAlignment="1">
      <alignment horizontal="center" vertical="center"/>
    </xf>
    <xf numFmtId="0" fontId="280" fillId="127" borderId="102" xfId="0" applyFont="1" applyFill="1" applyBorder="1" applyAlignment="1">
      <alignment horizontal="center" vertical="center"/>
    </xf>
    <xf numFmtId="0" fontId="280" fillId="127" borderId="100" xfId="0" applyFont="1" applyFill="1" applyBorder="1" applyAlignment="1">
      <alignment horizontal="center" vertical="center"/>
    </xf>
    <xf numFmtId="0" fontId="280" fillId="127" borderId="103" xfId="0" applyFont="1" applyFill="1" applyBorder="1" applyAlignment="1">
      <alignment horizontal="center" vertical="center"/>
    </xf>
    <xf numFmtId="0" fontId="273" fillId="119" borderId="20" xfId="0" applyFont="1" applyFill="1" applyBorder="1" applyAlignment="1">
      <alignment horizontal="center"/>
    </xf>
    <xf numFmtId="0" fontId="273" fillId="119" borderId="21" xfId="0" applyFont="1" applyFill="1" applyBorder="1" applyAlignment="1">
      <alignment horizontal="center"/>
    </xf>
    <xf numFmtId="0" fontId="273" fillId="119" borderId="22" xfId="0" applyFont="1" applyFill="1" applyBorder="1" applyAlignment="1">
      <alignment horizontal="center"/>
    </xf>
    <xf numFmtId="3" fontId="309" fillId="0" borderId="121" xfId="0" applyNumberFormat="1" applyFont="1" applyBorder="1" applyAlignment="1">
      <alignment horizontal="center" vertical="center"/>
    </xf>
    <xf numFmtId="3" fontId="309" fillId="0" borderId="112" xfId="0" applyNumberFormat="1" applyFont="1" applyBorder="1" applyAlignment="1">
      <alignment horizontal="center" vertical="center"/>
    </xf>
    <xf numFmtId="0" fontId="307" fillId="118" borderId="121" xfId="0" applyFont="1" applyFill="1" applyBorder="1" applyAlignment="1" applyProtection="1">
      <alignment horizontal="center" wrapText="1"/>
      <protection locked="0"/>
    </xf>
    <xf numFmtId="0" fontId="307" fillId="118" borderId="112" xfId="0" applyFont="1" applyFill="1" applyBorder="1" applyAlignment="1" applyProtection="1">
      <alignment horizontal="center" wrapText="1"/>
      <protection locked="0"/>
    </xf>
    <xf numFmtId="0" fontId="49" fillId="118" borderId="99" xfId="0" applyFont="1" applyFill="1" applyBorder="1" applyAlignment="1">
      <alignment horizontal="center" vertical="distributed"/>
    </xf>
    <xf numFmtId="0" fontId="49" fillId="118" borderId="13" xfId="0" applyFont="1" applyFill="1" applyBorder="1" applyAlignment="1">
      <alignment horizontal="center" vertical="distributed"/>
    </xf>
    <xf numFmtId="0" fontId="49" fillId="118" borderId="98" xfId="0" applyFont="1" applyFill="1" applyBorder="1" applyAlignment="1">
      <alignment horizontal="center" vertical="distributed"/>
    </xf>
    <xf numFmtId="264" fontId="49" fillId="118" borderId="111" xfId="0" applyNumberFormat="1" applyFont="1" applyFill="1" applyBorder="1" applyAlignment="1">
      <alignment horizontal="center" vertical="distributed"/>
    </xf>
    <xf numFmtId="264" fontId="49" fillId="118" borderId="124" xfId="0" applyNumberFormat="1" applyFont="1" applyFill="1" applyBorder="1" applyAlignment="1">
      <alignment horizontal="center" vertical="distributed"/>
    </xf>
    <xf numFmtId="264" fontId="49" fillId="118" borderId="99" xfId="0" applyNumberFormat="1" applyFont="1" applyFill="1" applyBorder="1" applyAlignment="1">
      <alignment horizontal="center" vertical="distributed"/>
    </xf>
    <xf numFmtId="264" fontId="49" fillId="118" borderId="13" xfId="0" applyNumberFormat="1" applyFont="1" applyFill="1" applyBorder="1" applyAlignment="1">
      <alignment horizontal="center" vertical="distributed"/>
    </xf>
    <xf numFmtId="264" fontId="49" fillId="118" borderId="98" xfId="0" applyNumberFormat="1" applyFont="1" applyFill="1" applyBorder="1" applyAlignment="1">
      <alignment horizontal="center" vertical="distributed"/>
    </xf>
    <xf numFmtId="3" fontId="309" fillId="0" borderId="121" xfId="16892" applyNumberFormat="1" applyFont="1" applyFill="1" applyBorder="1" applyAlignment="1" applyProtection="1">
      <alignment horizontal="center" vertical="center"/>
      <protection locked="0"/>
    </xf>
    <xf numFmtId="3" fontId="309" fillId="0" borderId="112" xfId="16892" applyNumberFormat="1" applyFont="1" applyFill="1" applyBorder="1" applyAlignment="1" applyProtection="1">
      <alignment horizontal="center" vertical="center"/>
      <protection locked="0"/>
    </xf>
    <xf numFmtId="249" fontId="309" fillId="0" borderId="121" xfId="1" applyNumberFormat="1" applyFont="1" applyFill="1" applyBorder="1" applyAlignment="1" applyProtection="1">
      <alignment horizontal="center" vertical="center"/>
      <protection locked="0"/>
    </xf>
    <xf numFmtId="249" fontId="309" fillId="0" borderId="112" xfId="1" applyNumberFormat="1" applyFont="1" applyFill="1" applyBorder="1" applyAlignment="1" applyProtection="1">
      <alignment horizontal="center" vertical="center"/>
      <protection locked="0"/>
    </xf>
    <xf numFmtId="0" fontId="307" fillId="118" borderId="99" xfId="0" applyFont="1" applyFill="1" applyBorder="1" applyAlignment="1" applyProtection="1">
      <alignment horizontal="center" vertical="center" wrapText="1"/>
      <protection locked="0"/>
    </xf>
    <xf numFmtId="0" fontId="307" fillId="118" borderId="98" xfId="0" applyFont="1" applyFill="1" applyBorder="1" applyAlignment="1" applyProtection="1">
      <alignment horizontal="center" vertical="center" wrapText="1"/>
      <protection locked="0"/>
    </xf>
    <xf numFmtId="0" fontId="307" fillId="118" borderId="121" xfId="0" applyFont="1" applyFill="1" applyBorder="1" applyAlignment="1" applyProtection="1">
      <alignment horizontal="center" vertical="center"/>
      <protection locked="0"/>
    </xf>
    <xf numFmtId="0" fontId="307" fillId="118" borderId="112" xfId="0" applyFont="1" applyFill="1" applyBorder="1" applyAlignment="1" applyProtection="1">
      <alignment horizontal="center" vertical="center"/>
      <protection locked="0"/>
    </xf>
    <xf numFmtId="14" fontId="307" fillId="118" borderId="122" xfId="0" applyNumberFormat="1" applyFont="1" applyFill="1" applyBorder="1" applyAlignment="1" applyProtection="1">
      <alignment horizontal="center" wrapText="1"/>
      <protection locked="0"/>
    </xf>
    <xf numFmtId="14" fontId="307" fillId="118" borderId="111" xfId="0" applyNumberFormat="1" applyFont="1" applyFill="1" applyBorder="1" applyAlignment="1" applyProtection="1">
      <alignment horizontal="center" wrapText="1"/>
      <protection locked="0"/>
    </xf>
    <xf numFmtId="0" fontId="307" fillId="118" borderId="99" xfId="0" applyFont="1" applyFill="1" applyBorder="1" applyAlignment="1" applyProtection="1">
      <alignment horizontal="center" vertical="center"/>
      <protection locked="0"/>
    </xf>
    <xf numFmtId="0" fontId="307" fillId="118" borderId="98" xfId="0" applyFont="1" applyFill="1" applyBorder="1" applyAlignment="1" applyProtection="1">
      <alignment horizontal="center" vertical="center"/>
      <protection locked="0"/>
    </xf>
    <xf numFmtId="164" fontId="309" fillId="0" borderId="121" xfId="1" applyNumberFormat="1" applyFont="1" applyFill="1" applyBorder="1" applyAlignment="1" applyProtection="1">
      <alignment horizontal="center" vertical="center"/>
      <protection locked="0"/>
    </xf>
    <xf numFmtId="164" fontId="309" fillId="0" borderId="112" xfId="1" applyNumberFormat="1" applyFont="1" applyFill="1" applyBorder="1" applyAlignment="1" applyProtection="1">
      <alignment horizontal="center" vertical="center"/>
      <protection locked="0"/>
    </xf>
    <xf numFmtId="0" fontId="307" fillId="118" borderId="99" xfId="0" applyFont="1" applyFill="1" applyBorder="1" applyAlignment="1">
      <alignment horizontal="center" vertical="distributed"/>
    </xf>
    <xf numFmtId="0" fontId="307" fillId="118" borderId="13" xfId="0" applyFont="1" applyFill="1" applyBorder="1" applyAlignment="1">
      <alignment horizontal="center" vertical="distributed"/>
    </xf>
    <xf numFmtId="0" fontId="307" fillId="118" borderId="98" xfId="0" applyFont="1" applyFill="1" applyBorder="1" applyAlignment="1">
      <alignment horizontal="center" vertical="distributed"/>
    </xf>
    <xf numFmtId="0" fontId="311" fillId="117" borderId="142" xfId="0" applyFont="1" applyFill="1" applyBorder="1" applyAlignment="1">
      <alignment horizontal="center"/>
    </xf>
    <xf numFmtId="0" fontId="311" fillId="117" borderId="143" xfId="0" applyFont="1" applyFill="1" applyBorder="1" applyAlignment="1">
      <alignment horizontal="center"/>
    </xf>
    <xf numFmtId="0" fontId="311" fillId="117" borderId="144" xfId="0" applyFont="1" applyFill="1" applyBorder="1" applyAlignment="1">
      <alignment horizontal="center"/>
    </xf>
    <xf numFmtId="0" fontId="311" fillId="117" borderId="99" xfId="0" applyFont="1" applyFill="1" applyBorder="1" applyAlignment="1">
      <alignment horizontal="center" vertical="center"/>
    </xf>
    <xf numFmtId="0" fontId="311" fillId="117" borderId="13" xfId="0" applyFont="1" applyFill="1" applyBorder="1" applyAlignment="1">
      <alignment horizontal="center" vertical="center"/>
    </xf>
    <xf numFmtId="0" fontId="311" fillId="117" borderId="98" xfId="0" applyFont="1" applyFill="1" applyBorder="1" applyAlignment="1">
      <alignment horizontal="center" vertical="center"/>
    </xf>
    <xf numFmtId="264" fontId="307" fillId="118" borderId="99" xfId="0" applyNumberFormat="1" applyFont="1" applyFill="1" applyBorder="1" applyAlignment="1">
      <alignment horizontal="center" vertical="distributed"/>
    </xf>
    <xf numFmtId="264" fontId="307" fillId="118" borderId="13" xfId="0" applyNumberFormat="1" applyFont="1" applyFill="1" applyBorder="1" applyAlignment="1">
      <alignment horizontal="center" vertical="distributed"/>
    </xf>
    <xf numFmtId="0" fontId="309" fillId="0" borderId="121" xfId="0" applyFont="1" applyBorder="1" applyAlignment="1">
      <alignment vertical="center"/>
    </xf>
    <xf numFmtId="0" fontId="309" fillId="0" borderId="112" xfId="0" applyFont="1" applyBorder="1" applyAlignment="1">
      <alignment vertical="center"/>
    </xf>
    <xf numFmtId="265" fontId="309" fillId="0" borderId="121" xfId="16779" applyNumberFormat="1" applyFont="1" applyFill="1" applyBorder="1" applyAlignment="1">
      <alignment horizontal="center" vertical="center"/>
    </xf>
    <xf numFmtId="265" fontId="309" fillId="0" borderId="112" xfId="16779" applyNumberFormat="1" applyFont="1" applyFill="1" applyBorder="1" applyAlignment="1">
      <alignment horizontal="center" vertical="center"/>
    </xf>
  </cellXfs>
  <cellStyles count="16894">
    <cellStyle name="_x0013_" xfId="287" xr:uid="{00000000-0005-0000-0000-000000000000}"/>
    <cellStyle name="------------------" xfId="288" xr:uid="{00000000-0005-0000-0000-000001000000}"/>
    <cellStyle name="_x000a_386grabber=M" xfId="289" xr:uid="{00000000-0005-0000-0000-000002000000}"/>
    <cellStyle name="&quot;X&quot; MEN" xfId="290" xr:uid="{00000000-0005-0000-0000-000003000000}"/>
    <cellStyle name="$" xfId="291" xr:uid="{00000000-0005-0000-0000-000004000000}"/>
    <cellStyle name="$ &amp; ¢" xfId="292" xr:uid="{00000000-0005-0000-0000-000005000000}"/>
    <cellStyle name="$_Piccadilly Model v2" xfId="293" xr:uid="{00000000-0005-0000-0000-000006000000}"/>
    <cellStyle name="$_Piccadilly Model v2_~7576084" xfId="294" xr:uid="{00000000-0005-0000-0000-000007000000}"/>
    <cellStyle name="$0.0;($0.0)" xfId="295" xr:uid="{00000000-0005-0000-0000-000008000000}"/>
    <cellStyle name="$0.00;($0.00)" xfId="296" xr:uid="{00000000-0005-0000-0000-000009000000}"/>
    <cellStyle name="$m" xfId="297" xr:uid="{00000000-0005-0000-0000-00000A000000}"/>
    <cellStyle name="$sign" xfId="298" xr:uid="{00000000-0005-0000-0000-00000B000000}"/>
    <cellStyle name="%" xfId="299" xr:uid="{00000000-0005-0000-0000-00000C000000}"/>
    <cellStyle name="% 2" xfId="300" xr:uid="{00000000-0005-0000-0000-00000D000000}"/>
    <cellStyle name="%.00" xfId="301" xr:uid="{00000000-0005-0000-0000-00000E000000}"/>
    <cellStyle name="%_2H 08 revenue outlookHKV2" xfId="302" xr:uid="{00000000-0005-0000-0000-00000F000000}"/>
    <cellStyle name="%_2H 08 revenue outlookHKV2 2" xfId="303" xr:uid="{00000000-0005-0000-0000-000010000000}"/>
    <cellStyle name="&amp;" xfId="304" xr:uid="{00000000-0005-0000-0000-000011000000}"/>
    <cellStyle name=";;;" xfId="305" xr:uid="{00000000-0005-0000-0000-000012000000}"/>
    <cellStyle name="?? [0]_??" xfId="306" xr:uid="{00000000-0005-0000-0000-000013000000}"/>
    <cellStyle name="??_?.????" xfId="307" xr:uid="{00000000-0005-0000-0000-000014000000}"/>
    <cellStyle name="_%(SignOnly)" xfId="308" xr:uid="{00000000-0005-0000-0000-000015000000}"/>
    <cellStyle name="_%(SignSpaceOnly)" xfId="309" xr:uid="{00000000-0005-0000-0000-000016000000}"/>
    <cellStyle name="_~1010844" xfId="310" xr:uid="{00000000-0005-0000-0000-000017000000}"/>
    <cellStyle name="_x0013__~7576084" xfId="311" xr:uid="{00000000-0005-0000-0000-000018000000}"/>
    <cellStyle name="_121-1910 Acc. Amort Loan Fee" xfId="312" xr:uid="{00000000-0005-0000-0000-000019000000}"/>
    <cellStyle name="_121-1910 Acc. Amort Loan Fee 2" xfId="313" xr:uid="{00000000-0005-0000-0000-00001A000000}"/>
    <cellStyle name="_2009 Bgt Rpt Mapping v6f_Pivot" xfId="314" xr:uid="{00000000-0005-0000-0000-00001B000000}"/>
    <cellStyle name="_321-1808, 1818 Customer Relationship &amp; Amortization" xfId="315" xr:uid="{00000000-0005-0000-0000-00001C000000}"/>
    <cellStyle name="_321-1808, 1818 Customer Relationship &amp; Amortization 2" xfId="316" xr:uid="{00000000-0005-0000-0000-00001D000000}"/>
    <cellStyle name="_321-1818 Amortization-Customer Relationship" xfId="317" xr:uid="{00000000-0005-0000-0000-00001E000000}"/>
    <cellStyle name="_321-1818 Amortization-Customer Relationship 2" xfId="318" xr:uid="{00000000-0005-0000-0000-00001F000000}"/>
    <cellStyle name="_Analysis at Various Share Prices" xfId="319" xr:uid="{00000000-0005-0000-0000-000020000000}"/>
    <cellStyle name="_Comma" xfId="320" xr:uid="{00000000-0005-0000-0000-000021000000}"/>
    <cellStyle name="_Comp Analysis Titan 11.11.05" xfId="321" xr:uid="{00000000-0005-0000-0000-000022000000}"/>
    <cellStyle name="_Currency" xfId="322" xr:uid="{00000000-0005-0000-0000-000023000000}"/>
    <cellStyle name="_CurrencySpace" xfId="323" xr:uid="{00000000-0005-0000-0000-000024000000}"/>
    <cellStyle name="_Euro" xfId="324" xr:uid="{00000000-0005-0000-0000-000025000000}"/>
    <cellStyle name="_Feb-09 JE#02-703 Amortize Intangibles" xfId="325" xr:uid="{00000000-0005-0000-0000-000026000000}"/>
    <cellStyle name="_Financial Model Quarry 10.17.05 - MASTER (NUE)v5" xfId="326" xr:uid="{00000000-0005-0000-0000-000027000000}"/>
    <cellStyle name="_Heading" xfId="327" xr:uid="{00000000-0005-0000-0000-000028000000}"/>
    <cellStyle name="_Heading_~7576084" xfId="328" xr:uid="{00000000-0005-0000-0000-000029000000}"/>
    <cellStyle name="_Heading_Piccadilly Model v2" xfId="329" xr:uid="{00000000-0005-0000-0000-00002A000000}"/>
    <cellStyle name="_Highlight" xfId="330" xr:uid="{00000000-0005-0000-0000-00002B000000}"/>
    <cellStyle name="_Jun-09 JE# 06-703STZ Amortize Intangibles" xfId="331" xr:uid="{00000000-0005-0000-0000-00002C000000}"/>
    <cellStyle name="_Jun-09 JE# 06-703STZ Amortize Intangibles 2" xfId="332" xr:uid="{00000000-0005-0000-0000-00002D000000}"/>
    <cellStyle name="_laroux" xfId="333" xr:uid="{00000000-0005-0000-0000-00002E000000}"/>
    <cellStyle name="_laroux_2000 Reforecast Summary 6-00" xfId="334" xr:uid="{00000000-0005-0000-0000-00002F000000}"/>
    <cellStyle name="_laroux_2000 Reforecast Summary 6-00_Black Scholes Valuation - Indigo" xfId="335" xr:uid="{00000000-0005-0000-0000-000030000000}"/>
    <cellStyle name="_laroux_April 2000 Review" xfId="336" xr:uid="{00000000-0005-0000-0000-000031000000}"/>
    <cellStyle name="_laroux_April 2000 Review_Property Disclosure 2000 Reforecast 8-00" xfId="337" xr:uid="{00000000-0005-0000-0000-000032000000}"/>
    <cellStyle name="_laroux_Aug Outlook Internet Marketing 10-14-99" xfId="338" xr:uid="{00000000-0005-0000-0000-000033000000}"/>
    <cellStyle name="_laroux_Aug Outlook Internet Marketing 10-14-99_Black Scholes Valuation - Indigo" xfId="339" xr:uid="{00000000-0005-0000-0000-000034000000}"/>
    <cellStyle name="_laroux_Black Scholes Valuation - Indigo" xfId="340" xr:uid="{00000000-0005-0000-0000-000035000000}"/>
    <cellStyle name="_laroux_Geo Analysis file 10-7-99" xfId="341" xr:uid="{00000000-0005-0000-0000-000036000000}"/>
    <cellStyle name="_laroux_Geo Analysis file 10-7-99_Black Scholes Valuation - Indigo" xfId="342" xr:uid="{00000000-0005-0000-0000-000037000000}"/>
    <cellStyle name="_laroux_June 2000 Review - board package 7-14-00 v2" xfId="343" xr:uid="{00000000-0005-0000-0000-000038000000}"/>
    <cellStyle name="_laroux_June 2000 Review - board package 7-14-00 v2_Black Scholes Valuation - Indigo" xfId="344" xr:uid="{00000000-0005-0000-0000-000039000000}"/>
    <cellStyle name="_laroux_revbyprod Prop Disc" xfId="345" xr:uid="{00000000-0005-0000-0000-00003A000000}"/>
    <cellStyle name="_laroux_revbyprod Prop Disc_Black Scholes Valuation - Indigo" xfId="346" xr:uid="{00000000-0005-0000-0000-00003B000000}"/>
    <cellStyle name="_laroux_Revenue Prop Disc Budget 12-21" xfId="347" xr:uid="{00000000-0005-0000-0000-00003C000000}"/>
    <cellStyle name="_laroux_Revenue Prop Disc Budget 12-21_Black Scholes Valuation - Indigo" xfId="348" xr:uid="{00000000-0005-0000-0000-00003D000000}"/>
    <cellStyle name="_laroux_Strategy Meeting 8-22-00b" xfId="349" xr:uid="{00000000-0005-0000-0000-00003E000000}"/>
    <cellStyle name="_laroux_Strategy Meeting 8-22-00b_Black Scholes Valuation - Indigo" xfId="350" xr:uid="{00000000-0005-0000-0000-00003F000000}"/>
    <cellStyle name="_laroux_Strategy Meeting Update 10-9-00" xfId="351" xr:uid="{00000000-0005-0000-0000-000040000000}"/>
    <cellStyle name="_laroux_Strategy Meeting Update 10-9-00_Black Scholes Valuation - Indigo" xfId="352" xr:uid="{00000000-0005-0000-0000-000041000000}"/>
    <cellStyle name="_laroux_Strategy Meeting Update 11-6-00" xfId="353" xr:uid="{00000000-0005-0000-0000-000042000000}"/>
    <cellStyle name="_laroux_Strategy Meeting Update 11-6-00_Black Scholes Valuation - Indigo" xfId="354" xr:uid="{00000000-0005-0000-0000-000043000000}"/>
    <cellStyle name="_MTX Stand Alone Model (v2)" xfId="355" xr:uid="{00000000-0005-0000-0000-000044000000}"/>
    <cellStyle name="_MTX Stand Alone Model (v2) 2" xfId="356" xr:uid="{00000000-0005-0000-0000-000045000000}"/>
    <cellStyle name="_Multiple" xfId="357" xr:uid="{00000000-0005-0000-0000-000046000000}"/>
    <cellStyle name="_MultipleSpace" xfId="358" xr:uid="{00000000-0005-0000-0000-000047000000}"/>
    <cellStyle name="_NXO April 08 NextiraOne Mexico FCF" xfId="359" xr:uid="{00000000-0005-0000-0000-000048000000}"/>
    <cellStyle name="_PF BS" xfId="360" xr:uid="{00000000-0005-0000-0000-000049000000}"/>
    <cellStyle name="_PF BS_~7576084" xfId="361" xr:uid="{00000000-0005-0000-0000-00004A000000}"/>
    <cellStyle name="_Project Flight Plan - Model 4.28.05 v4" xfId="362" xr:uid="{00000000-0005-0000-0000-00004B000000}"/>
    <cellStyle name="_Project Flight Plan - Model 4.28.05 v7" xfId="363" xr:uid="{00000000-0005-0000-0000-00004C000000}"/>
    <cellStyle name="_Project Flight Plan - Model 7.23.05 v1 (op. model)" xfId="364" xr:uid="{00000000-0005-0000-0000-00004D000000}"/>
    <cellStyle name="_Project Flight Plan - Model 7.23.05 v1 (op. model)_~7576084" xfId="365" xr:uid="{00000000-0005-0000-0000-00004E000000}"/>
    <cellStyle name="_Revenue Model_GE_based on March Outlook_rv (4.30.05) fromt the company" xfId="366" xr:uid="{00000000-0005-0000-0000-00004F000000}"/>
    <cellStyle name="_Revenue Model_GE_based on March Outlook_rv (4.30.05) fromt the company_~7576084" xfId="367" xr:uid="{00000000-0005-0000-0000-000050000000}"/>
    <cellStyle name="_SubHeading" xfId="368" xr:uid="{00000000-0005-0000-0000-000051000000}"/>
    <cellStyle name="_SubHeading_~7576084" xfId="369" xr:uid="{00000000-0005-0000-0000-000052000000}"/>
    <cellStyle name="_SubHeading_Piccadilly Model v2" xfId="370" xr:uid="{00000000-0005-0000-0000-000053000000}"/>
    <cellStyle name="_Syniverse_Marble_v26" xfId="371" xr:uid="{00000000-0005-0000-0000-000054000000}"/>
    <cellStyle name="_Table" xfId="372" xr:uid="{00000000-0005-0000-0000-000055000000}"/>
    <cellStyle name="_Table_~7576084" xfId="373" xr:uid="{00000000-0005-0000-0000-000056000000}"/>
    <cellStyle name="_Table_Purchase Price - Weil v3" xfId="374" xr:uid="{00000000-0005-0000-0000-000057000000}"/>
    <cellStyle name="_TableHead" xfId="375" xr:uid="{00000000-0005-0000-0000-000058000000}"/>
    <cellStyle name="_TableHead_~7576084" xfId="376" xr:uid="{00000000-0005-0000-0000-000059000000}"/>
    <cellStyle name="_TableHead_Piccadilly Model v2" xfId="377" xr:uid="{00000000-0005-0000-0000-00005A000000}"/>
    <cellStyle name="_TableHead_Piccadilly Model v2_Purchase Price - Weil v3" xfId="378" xr:uid="{00000000-0005-0000-0000-00005B000000}"/>
    <cellStyle name="_TableHead_Purchase Price - Weil v3" xfId="379" xr:uid="{00000000-0005-0000-0000-00005C000000}"/>
    <cellStyle name="_TableRowHead" xfId="380" xr:uid="{00000000-0005-0000-0000-00005D000000}"/>
    <cellStyle name="_TableRowHead_~7576084" xfId="381" xr:uid="{00000000-0005-0000-0000-00005E000000}"/>
    <cellStyle name="_TableRowHead_Piccadilly Model v2" xfId="382" xr:uid="{00000000-0005-0000-0000-00005F000000}"/>
    <cellStyle name="_TableSuperHead" xfId="383" xr:uid="{00000000-0005-0000-0000-000060000000}"/>
    <cellStyle name="_TableSuperHead_~7576084" xfId="384" xr:uid="{00000000-0005-0000-0000-000061000000}"/>
    <cellStyle name="_Titan FO - Model and Trading Comps v7" xfId="385" xr:uid="{00000000-0005-0000-0000-000062000000}"/>
    <cellStyle name="_Titan Model 10.7.05" xfId="386" xr:uid="{00000000-0005-0000-0000-000063000000}"/>
    <cellStyle name="_Total Transaction Analysis 4-28-06-CD" xfId="387" xr:uid="{00000000-0005-0000-0000-000064000000}"/>
    <cellStyle name="_valuation" xfId="388" xr:uid="{00000000-0005-0000-0000-000065000000}"/>
    <cellStyle name="_XO Comps Valuation FO" xfId="389" xr:uid="{00000000-0005-0000-0000-000066000000}"/>
    <cellStyle name="_XO Comps Valuation FO_~7576084" xfId="390" xr:uid="{00000000-0005-0000-0000-000067000000}"/>
    <cellStyle name="¢ Currency [1]" xfId="391" xr:uid="{00000000-0005-0000-0000-000068000000}"/>
    <cellStyle name="¢ Currency [2]" xfId="392" xr:uid="{00000000-0005-0000-0000-000069000000}"/>
    <cellStyle name="¢ Currency [3]" xfId="393" xr:uid="{00000000-0005-0000-0000-00006A000000}"/>
    <cellStyle name="£ BP" xfId="394" xr:uid="{00000000-0005-0000-0000-00006B000000}"/>
    <cellStyle name="£ Currency [0]" xfId="395" xr:uid="{00000000-0005-0000-0000-00006C000000}"/>
    <cellStyle name="£ Currency [1]" xfId="396" xr:uid="{00000000-0005-0000-0000-00006D000000}"/>
    <cellStyle name="£ Currency [2]" xfId="397" xr:uid="{00000000-0005-0000-0000-00006E000000}"/>
    <cellStyle name="£Currency [0]" xfId="398" xr:uid="{00000000-0005-0000-0000-00006F000000}"/>
    <cellStyle name="£Currency [1]" xfId="399" xr:uid="{00000000-0005-0000-0000-000070000000}"/>
    <cellStyle name="£Currency [2]" xfId="400" xr:uid="{00000000-0005-0000-0000-000071000000}"/>
    <cellStyle name="£Currency [p]" xfId="401" xr:uid="{00000000-0005-0000-0000-000072000000}"/>
    <cellStyle name="£Currency [p2]" xfId="402" xr:uid="{00000000-0005-0000-0000-000073000000}"/>
    <cellStyle name="£Pounds" xfId="403" xr:uid="{00000000-0005-0000-0000-000074000000}"/>
    <cellStyle name="¥ JY" xfId="404" xr:uid="{00000000-0005-0000-0000-000075000000}"/>
    <cellStyle name="_x0007_⚈" xfId="405" xr:uid="{00000000-0005-0000-0000-000076000000}"/>
    <cellStyle name="0" xfId="406" xr:uid="{00000000-0005-0000-0000-000077000000}"/>
    <cellStyle name="0,0_x000a__x000a_NA_x000a__x000a_" xfId="407" xr:uid="{00000000-0005-0000-0000-000078000000}"/>
    <cellStyle name="0.0 x; (0.0 x)" xfId="408" xr:uid="{00000000-0005-0000-0000-000079000000}"/>
    <cellStyle name="0.0 x; (0.0 x) 2" xfId="16780" xr:uid="{00000000-0005-0000-0000-00007A000000}"/>
    <cellStyle name="0_~7576084" xfId="409" xr:uid="{00000000-0005-0000-0000-00007B000000}"/>
    <cellStyle name="000" xfId="410" xr:uid="{00000000-0005-0000-0000-00007C000000}"/>
    <cellStyle name="0000" xfId="411" xr:uid="{00000000-0005-0000-0000-00007D000000}"/>
    <cellStyle name="000000" xfId="412" xr:uid="{00000000-0005-0000-0000-00007E000000}"/>
    <cellStyle name="1" xfId="413" xr:uid="{00000000-0005-0000-0000-00007F000000}"/>
    <cellStyle name="1_~7576084" xfId="414" xr:uid="{00000000-0005-0000-0000-000080000000}"/>
    <cellStyle name="1_hc_valuation_dcf_v1" xfId="415" xr:uid="{00000000-0005-0000-0000-000081000000}"/>
    <cellStyle name="1_hc_valuation_dcf_v1_~7576084" xfId="416" xr:uid="{00000000-0005-0000-0000-000082000000}"/>
    <cellStyle name="12" xfId="417" xr:uid="{00000000-0005-0000-0000-000083000000}"/>
    <cellStyle name="1998" xfId="418" xr:uid="{00000000-0005-0000-0000-000084000000}"/>
    <cellStyle name="¹éºÐÀ²_±âÅ¸" xfId="419" xr:uid="{00000000-0005-0000-0000-000085000000}"/>
    <cellStyle name="2 Decimal Places" xfId="420" xr:uid="{00000000-0005-0000-0000-000086000000}"/>
    <cellStyle name="20% - Accent1 2" xfId="4" xr:uid="{00000000-0005-0000-0000-000087000000}"/>
    <cellStyle name="20% - Accent1 2 2" xfId="421" xr:uid="{00000000-0005-0000-0000-000088000000}"/>
    <cellStyle name="20% - Accent1 2 2 2" xfId="422" xr:uid="{00000000-0005-0000-0000-000089000000}"/>
    <cellStyle name="20% - Accent1 2 2 2 2" xfId="423" xr:uid="{00000000-0005-0000-0000-00008A000000}"/>
    <cellStyle name="20% - Accent1 2 2 2 2 2" xfId="424" xr:uid="{00000000-0005-0000-0000-00008B000000}"/>
    <cellStyle name="20% - Accent1 2 2 2 2 2 2" xfId="425" xr:uid="{00000000-0005-0000-0000-00008C000000}"/>
    <cellStyle name="20% - Accent1 2 2 2 2 2 2 2" xfId="426" xr:uid="{00000000-0005-0000-0000-00008D000000}"/>
    <cellStyle name="20% - Accent1 2 2 2 2 2 3" xfId="427" xr:uid="{00000000-0005-0000-0000-00008E000000}"/>
    <cellStyle name="20% - Accent1 2 2 2 2 2 3 2" xfId="428" xr:uid="{00000000-0005-0000-0000-00008F000000}"/>
    <cellStyle name="20% - Accent1 2 2 2 2 2 4" xfId="429" xr:uid="{00000000-0005-0000-0000-000090000000}"/>
    <cellStyle name="20% - Accent1 2 2 2 2 3" xfId="430" xr:uid="{00000000-0005-0000-0000-000091000000}"/>
    <cellStyle name="20% - Accent1 2 2 2 2 3 2" xfId="431" xr:uid="{00000000-0005-0000-0000-000092000000}"/>
    <cellStyle name="20% - Accent1 2 2 2 2 3 2 2" xfId="432" xr:uid="{00000000-0005-0000-0000-000093000000}"/>
    <cellStyle name="20% - Accent1 2 2 2 2 3 3" xfId="433" xr:uid="{00000000-0005-0000-0000-000094000000}"/>
    <cellStyle name="20% - Accent1 2 2 2 2 4" xfId="434" xr:uid="{00000000-0005-0000-0000-000095000000}"/>
    <cellStyle name="20% - Accent1 2 2 2 2 4 2" xfId="435" xr:uid="{00000000-0005-0000-0000-000096000000}"/>
    <cellStyle name="20% - Accent1 2 2 2 2 5" xfId="436" xr:uid="{00000000-0005-0000-0000-000097000000}"/>
    <cellStyle name="20% - Accent1 2 2 2 2 5 2" xfId="437" xr:uid="{00000000-0005-0000-0000-000098000000}"/>
    <cellStyle name="20% - Accent1 2 2 2 2 6" xfId="438" xr:uid="{00000000-0005-0000-0000-000099000000}"/>
    <cellStyle name="20% - Accent1 2 2 2 3" xfId="439" xr:uid="{00000000-0005-0000-0000-00009A000000}"/>
    <cellStyle name="20% - Accent1 2 2 2 3 2" xfId="440" xr:uid="{00000000-0005-0000-0000-00009B000000}"/>
    <cellStyle name="20% - Accent1 2 2 2 3 2 2" xfId="441" xr:uid="{00000000-0005-0000-0000-00009C000000}"/>
    <cellStyle name="20% - Accent1 2 2 2 3 3" xfId="442" xr:uid="{00000000-0005-0000-0000-00009D000000}"/>
    <cellStyle name="20% - Accent1 2 2 2 3 3 2" xfId="443" xr:uid="{00000000-0005-0000-0000-00009E000000}"/>
    <cellStyle name="20% - Accent1 2 2 2 3 4" xfId="444" xr:uid="{00000000-0005-0000-0000-00009F000000}"/>
    <cellStyle name="20% - Accent1 2 2 2 4" xfId="445" xr:uid="{00000000-0005-0000-0000-0000A0000000}"/>
    <cellStyle name="20% - Accent1 2 2 2 4 2" xfId="446" xr:uid="{00000000-0005-0000-0000-0000A1000000}"/>
    <cellStyle name="20% - Accent1 2 2 2 4 2 2" xfId="447" xr:uid="{00000000-0005-0000-0000-0000A2000000}"/>
    <cellStyle name="20% - Accent1 2 2 2 4 3" xfId="448" xr:uid="{00000000-0005-0000-0000-0000A3000000}"/>
    <cellStyle name="20% - Accent1 2 2 2 5" xfId="449" xr:uid="{00000000-0005-0000-0000-0000A4000000}"/>
    <cellStyle name="20% - Accent1 2 2 2 5 2" xfId="450" xr:uid="{00000000-0005-0000-0000-0000A5000000}"/>
    <cellStyle name="20% - Accent1 2 2 2 6" xfId="451" xr:uid="{00000000-0005-0000-0000-0000A6000000}"/>
    <cellStyle name="20% - Accent1 2 2 2 6 2" xfId="452" xr:uid="{00000000-0005-0000-0000-0000A7000000}"/>
    <cellStyle name="20% - Accent1 2 2 2 7" xfId="453" xr:uid="{00000000-0005-0000-0000-0000A8000000}"/>
    <cellStyle name="20% - Accent1 2 2 3" xfId="454" xr:uid="{00000000-0005-0000-0000-0000A9000000}"/>
    <cellStyle name="20% - Accent1 2 2 3 2" xfId="455" xr:uid="{00000000-0005-0000-0000-0000AA000000}"/>
    <cellStyle name="20% - Accent1 2 2 3 2 2" xfId="456" xr:uid="{00000000-0005-0000-0000-0000AB000000}"/>
    <cellStyle name="20% - Accent1 2 2 3 2 2 2" xfId="457" xr:uid="{00000000-0005-0000-0000-0000AC000000}"/>
    <cellStyle name="20% - Accent1 2 2 3 2 2 2 2" xfId="458" xr:uid="{00000000-0005-0000-0000-0000AD000000}"/>
    <cellStyle name="20% - Accent1 2 2 3 2 2 3" xfId="459" xr:uid="{00000000-0005-0000-0000-0000AE000000}"/>
    <cellStyle name="20% - Accent1 2 2 3 2 2 3 2" xfId="460" xr:uid="{00000000-0005-0000-0000-0000AF000000}"/>
    <cellStyle name="20% - Accent1 2 2 3 2 2 4" xfId="461" xr:uid="{00000000-0005-0000-0000-0000B0000000}"/>
    <cellStyle name="20% - Accent1 2 2 3 2 3" xfId="462" xr:uid="{00000000-0005-0000-0000-0000B1000000}"/>
    <cellStyle name="20% - Accent1 2 2 3 2 3 2" xfId="463" xr:uid="{00000000-0005-0000-0000-0000B2000000}"/>
    <cellStyle name="20% - Accent1 2 2 3 2 3 2 2" xfId="464" xr:uid="{00000000-0005-0000-0000-0000B3000000}"/>
    <cellStyle name="20% - Accent1 2 2 3 2 3 3" xfId="465" xr:uid="{00000000-0005-0000-0000-0000B4000000}"/>
    <cellStyle name="20% - Accent1 2 2 3 2 4" xfId="466" xr:uid="{00000000-0005-0000-0000-0000B5000000}"/>
    <cellStyle name="20% - Accent1 2 2 3 2 4 2" xfId="467" xr:uid="{00000000-0005-0000-0000-0000B6000000}"/>
    <cellStyle name="20% - Accent1 2 2 3 2 5" xfId="468" xr:uid="{00000000-0005-0000-0000-0000B7000000}"/>
    <cellStyle name="20% - Accent1 2 2 3 2 5 2" xfId="469" xr:uid="{00000000-0005-0000-0000-0000B8000000}"/>
    <cellStyle name="20% - Accent1 2 2 3 2 6" xfId="470" xr:uid="{00000000-0005-0000-0000-0000B9000000}"/>
    <cellStyle name="20% - Accent1 2 2 3 3" xfId="471" xr:uid="{00000000-0005-0000-0000-0000BA000000}"/>
    <cellStyle name="20% - Accent1 2 2 3 3 2" xfId="472" xr:uid="{00000000-0005-0000-0000-0000BB000000}"/>
    <cellStyle name="20% - Accent1 2 2 3 3 2 2" xfId="473" xr:uid="{00000000-0005-0000-0000-0000BC000000}"/>
    <cellStyle name="20% - Accent1 2 2 3 3 3" xfId="474" xr:uid="{00000000-0005-0000-0000-0000BD000000}"/>
    <cellStyle name="20% - Accent1 2 2 3 3 3 2" xfId="475" xr:uid="{00000000-0005-0000-0000-0000BE000000}"/>
    <cellStyle name="20% - Accent1 2 2 3 3 4" xfId="476" xr:uid="{00000000-0005-0000-0000-0000BF000000}"/>
    <cellStyle name="20% - Accent1 2 2 3 4" xfId="477" xr:uid="{00000000-0005-0000-0000-0000C0000000}"/>
    <cellStyle name="20% - Accent1 2 2 3 4 2" xfId="478" xr:uid="{00000000-0005-0000-0000-0000C1000000}"/>
    <cellStyle name="20% - Accent1 2 2 3 4 2 2" xfId="479" xr:uid="{00000000-0005-0000-0000-0000C2000000}"/>
    <cellStyle name="20% - Accent1 2 2 3 4 3" xfId="480" xr:uid="{00000000-0005-0000-0000-0000C3000000}"/>
    <cellStyle name="20% - Accent1 2 2 3 5" xfId="481" xr:uid="{00000000-0005-0000-0000-0000C4000000}"/>
    <cellStyle name="20% - Accent1 2 2 3 5 2" xfId="482" xr:uid="{00000000-0005-0000-0000-0000C5000000}"/>
    <cellStyle name="20% - Accent1 2 2 3 6" xfId="483" xr:uid="{00000000-0005-0000-0000-0000C6000000}"/>
    <cellStyle name="20% - Accent1 2 2 3 6 2" xfId="484" xr:uid="{00000000-0005-0000-0000-0000C7000000}"/>
    <cellStyle name="20% - Accent1 2 2 3 7" xfId="485" xr:uid="{00000000-0005-0000-0000-0000C8000000}"/>
    <cellStyle name="20% - Accent1 2 2 4" xfId="486" xr:uid="{00000000-0005-0000-0000-0000C9000000}"/>
    <cellStyle name="20% - Accent1 2 2 4 2" xfId="487" xr:uid="{00000000-0005-0000-0000-0000CA000000}"/>
    <cellStyle name="20% - Accent1 2 2 4 2 2" xfId="488" xr:uid="{00000000-0005-0000-0000-0000CB000000}"/>
    <cellStyle name="20% - Accent1 2 2 4 2 2 2" xfId="489" xr:uid="{00000000-0005-0000-0000-0000CC000000}"/>
    <cellStyle name="20% - Accent1 2 2 4 2 3" xfId="490" xr:uid="{00000000-0005-0000-0000-0000CD000000}"/>
    <cellStyle name="20% - Accent1 2 2 4 2 3 2" xfId="491" xr:uid="{00000000-0005-0000-0000-0000CE000000}"/>
    <cellStyle name="20% - Accent1 2 2 4 2 4" xfId="492" xr:uid="{00000000-0005-0000-0000-0000CF000000}"/>
    <cellStyle name="20% - Accent1 2 2 4 3" xfId="493" xr:uid="{00000000-0005-0000-0000-0000D0000000}"/>
    <cellStyle name="20% - Accent1 2 2 4 3 2" xfId="494" xr:uid="{00000000-0005-0000-0000-0000D1000000}"/>
    <cellStyle name="20% - Accent1 2 2 4 3 2 2" xfId="495" xr:uid="{00000000-0005-0000-0000-0000D2000000}"/>
    <cellStyle name="20% - Accent1 2 2 4 3 3" xfId="496" xr:uid="{00000000-0005-0000-0000-0000D3000000}"/>
    <cellStyle name="20% - Accent1 2 2 4 4" xfId="497" xr:uid="{00000000-0005-0000-0000-0000D4000000}"/>
    <cellStyle name="20% - Accent1 2 2 4 4 2" xfId="498" xr:uid="{00000000-0005-0000-0000-0000D5000000}"/>
    <cellStyle name="20% - Accent1 2 2 4 5" xfId="499" xr:uid="{00000000-0005-0000-0000-0000D6000000}"/>
    <cellStyle name="20% - Accent1 2 2 4 5 2" xfId="500" xr:uid="{00000000-0005-0000-0000-0000D7000000}"/>
    <cellStyle name="20% - Accent1 2 2 4 6" xfId="501" xr:uid="{00000000-0005-0000-0000-0000D8000000}"/>
    <cellStyle name="20% - Accent1 2 2 5" xfId="502" xr:uid="{00000000-0005-0000-0000-0000D9000000}"/>
    <cellStyle name="20% - Accent1 2 2 5 2" xfId="503" xr:uid="{00000000-0005-0000-0000-0000DA000000}"/>
    <cellStyle name="20% - Accent1 2 2 5 2 2" xfId="504" xr:uid="{00000000-0005-0000-0000-0000DB000000}"/>
    <cellStyle name="20% - Accent1 2 2 5 3" xfId="505" xr:uid="{00000000-0005-0000-0000-0000DC000000}"/>
    <cellStyle name="20% - Accent1 2 2 5 3 2" xfId="506" xr:uid="{00000000-0005-0000-0000-0000DD000000}"/>
    <cellStyle name="20% - Accent1 2 2 5 4" xfId="507" xr:uid="{00000000-0005-0000-0000-0000DE000000}"/>
    <cellStyle name="20% - Accent1 2 2 6" xfId="508" xr:uid="{00000000-0005-0000-0000-0000DF000000}"/>
    <cellStyle name="20% - Accent1 2 2 6 2" xfId="509" xr:uid="{00000000-0005-0000-0000-0000E0000000}"/>
    <cellStyle name="20% - Accent1 2 2 6 2 2" xfId="510" xr:uid="{00000000-0005-0000-0000-0000E1000000}"/>
    <cellStyle name="20% - Accent1 2 2 6 3" xfId="511" xr:uid="{00000000-0005-0000-0000-0000E2000000}"/>
    <cellStyle name="20% - Accent1 2 2 7" xfId="512" xr:uid="{00000000-0005-0000-0000-0000E3000000}"/>
    <cellStyle name="20% - Accent1 2 2 7 2" xfId="513" xr:uid="{00000000-0005-0000-0000-0000E4000000}"/>
    <cellStyle name="20% - Accent1 2 2 8" xfId="514" xr:uid="{00000000-0005-0000-0000-0000E5000000}"/>
    <cellStyle name="20% - Accent1 2 2 8 2" xfId="515" xr:uid="{00000000-0005-0000-0000-0000E6000000}"/>
    <cellStyle name="20% - Accent1 2 2 9" xfId="516" xr:uid="{00000000-0005-0000-0000-0000E7000000}"/>
    <cellStyle name="20% - Accent1 2 3" xfId="517" xr:uid="{00000000-0005-0000-0000-0000E8000000}"/>
    <cellStyle name="20% - Accent1 2 3 2" xfId="518" xr:uid="{00000000-0005-0000-0000-0000E9000000}"/>
    <cellStyle name="20% - Accent1 2 3 2 2" xfId="519" xr:uid="{00000000-0005-0000-0000-0000EA000000}"/>
    <cellStyle name="20% - Accent1 2 3 2 2 2" xfId="520" xr:uid="{00000000-0005-0000-0000-0000EB000000}"/>
    <cellStyle name="20% - Accent1 2 3 2 2 2 2" xfId="521" xr:uid="{00000000-0005-0000-0000-0000EC000000}"/>
    <cellStyle name="20% - Accent1 2 3 2 2 3" xfId="522" xr:uid="{00000000-0005-0000-0000-0000ED000000}"/>
    <cellStyle name="20% - Accent1 2 3 2 2 3 2" xfId="523" xr:uid="{00000000-0005-0000-0000-0000EE000000}"/>
    <cellStyle name="20% - Accent1 2 3 2 2 4" xfId="524" xr:uid="{00000000-0005-0000-0000-0000EF000000}"/>
    <cellStyle name="20% - Accent1 2 3 2 3" xfId="525" xr:uid="{00000000-0005-0000-0000-0000F0000000}"/>
    <cellStyle name="20% - Accent1 2 3 2 3 2" xfId="526" xr:uid="{00000000-0005-0000-0000-0000F1000000}"/>
    <cellStyle name="20% - Accent1 2 3 2 3 2 2" xfId="527" xr:uid="{00000000-0005-0000-0000-0000F2000000}"/>
    <cellStyle name="20% - Accent1 2 3 2 3 3" xfId="528" xr:uid="{00000000-0005-0000-0000-0000F3000000}"/>
    <cellStyle name="20% - Accent1 2 3 2 4" xfId="529" xr:uid="{00000000-0005-0000-0000-0000F4000000}"/>
    <cellStyle name="20% - Accent1 2 3 2 4 2" xfId="530" xr:uid="{00000000-0005-0000-0000-0000F5000000}"/>
    <cellStyle name="20% - Accent1 2 3 2 5" xfId="531" xr:uid="{00000000-0005-0000-0000-0000F6000000}"/>
    <cellStyle name="20% - Accent1 2 3 2 5 2" xfId="532" xr:uid="{00000000-0005-0000-0000-0000F7000000}"/>
    <cellStyle name="20% - Accent1 2 3 2 6" xfId="533" xr:uid="{00000000-0005-0000-0000-0000F8000000}"/>
    <cellStyle name="20% - Accent1 2 3 3" xfId="534" xr:uid="{00000000-0005-0000-0000-0000F9000000}"/>
    <cellStyle name="20% - Accent1 2 3 3 2" xfId="535" xr:uid="{00000000-0005-0000-0000-0000FA000000}"/>
    <cellStyle name="20% - Accent1 2 3 3 2 2" xfId="536" xr:uid="{00000000-0005-0000-0000-0000FB000000}"/>
    <cellStyle name="20% - Accent1 2 3 3 3" xfId="537" xr:uid="{00000000-0005-0000-0000-0000FC000000}"/>
    <cellStyle name="20% - Accent1 2 3 3 3 2" xfId="538" xr:uid="{00000000-0005-0000-0000-0000FD000000}"/>
    <cellStyle name="20% - Accent1 2 3 3 4" xfId="539" xr:uid="{00000000-0005-0000-0000-0000FE000000}"/>
    <cellStyle name="20% - Accent1 2 3 4" xfId="540" xr:uid="{00000000-0005-0000-0000-0000FF000000}"/>
    <cellStyle name="20% - Accent1 2 3 4 2" xfId="541" xr:uid="{00000000-0005-0000-0000-000000010000}"/>
    <cellStyle name="20% - Accent1 2 3 4 2 2" xfId="542" xr:uid="{00000000-0005-0000-0000-000001010000}"/>
    <cellStyle name="20% - Accent1 2 3 4 3" xfId="543" xr:uid="{00000000-0005-0000-0000-000002010000}"/>
    <cellStyle name="20% - Accent1 2 3 5" xfId="544" xr:uid="{00000000-0005-0000-0000-000003010000}"/>
    <cellStyle name="20% - Accent1 2 3 5 2" xfId="545" xr:uid="{00000000-0005-0000-0000-000004010000}"/>
    <cellStyle name="20% - Accent1 2 3 6" xfId="546" xr:uid="{00000000-0005-0000-0000-000005010000}"/>
    <cellStyle name="20% - Accent1 2 3 6 2" xfId="547" xr:uid="{00000000-0005-0000-0000-000006010000}"/>
    <cellStyle name="20% - Accent1 2 3 7" xfId="548" xr:uid="{00000000-0005-0000-0000-000007010000}"/>
    <cellStyle name="20% - Accent1 2 4" xfId="549" xr:uid="{00000000-0005-0000-0000-000008010000}"/>
    <cellStyle name="20% - Accent1 2 4 2" xfId="550" xr:uid="{00000000-0005-0000-0000-000009010000}"/>
    <cellStyle name="20% - Accent1 2 4 2 2" xfId="551" xr:uid="{00000000-0005-0000-0000-00000A010000}"/>
    <cellStyle name="20% - Accent1 2 4 2 2 2" xfId="552" xr:uid="{00000000-0005-0000-0000-00000B010000}"/>
    <cellStyle name="20% - Accent1 2 4 2 2 2 2" xfId="553" xr:uid="{00000000-0005-0000-0000-00000C010000}"/>
    <cellStyle name="20% - Accent1 2 4 2 2 3" xfId="554" xr:uid="{00000000-0005-0000-0000-00000D010000}"/>
    <cellStyle name="20% - Accent1 2 4 2 2 3 2" xfId="555" xr:uid="{00000000-0005-0000-0000-00000E010000}"/>
    <cellStyle name="20% - Accent1 2 4 2 2 4" xfId="556" xr:uid="{00000000-0005-0000-0000-00000F010000}"/>
    <cellStyle name="20% - Accent1 2 4 2 3" xfId="557" xr:uid="{00000000-0005-0000-0000-000010010000}"/>
    <cellStyle name="20% - Accent1 2 4 2 3 2" xfId="558" xr:uid="{00000000-0005-0000-0000-000011010000}"/>
    <cellStyle name="20% - Accent1 2 4 2 3 2 2" xfId="559" xr:uid="{00000000-0005-0000-0000-000012010000}"/>
    <cellStyle name="20% - Accent1 2 4 2 3 3" xfId="560" xr:uid="{00000000-0005-0000-0000-000013010000}"/>
    <cellStyle name="20% - Accent1 2 4 2 4" xfId="561" xr:uid="{00000000-0005-0000-0000-000014010000}"/>
    <cellStyle name="20% - Accent1 2 4 2 4 2" xfId="562" xr:uid="{00000000-0005-0000-0000-000015010000}"/>
    <cellStyle name="20% - Accent1 2 4 2 5" xfId="563" xr:uid="{00000000-0005-0000-0000-000016010000}"/>
    <cellStyle name="20% - Accent1 2 4 2 5 2" xfId="564" xr:uid="{00000000-0005-0000-0000-000017010000}"/>
    <cellStyle name="20% - Accent1 2 4 2 6" xfId="565" xr:uid="{00000000-0005-0000-0000-000018010000}"/>
    <cellStyle name="20% - Accent1 2 4 3" xfId="566" xr:uid="{00000000-0005-0000-0000-000019010000}"/>
    <cellStyle name="20% - Accent1 2 4 3 2" xfId="567" xr:uid="{00000000-0005-0000-0000-00001A010000}"/>
    <cellStyle name="20% - Accent1 2 4 3 2 2" xfId="568" xr:uid="{00000000-0005-0000-0000-00001B010000}"/>
    <cellStyle name="20% - Accent1 2 4 3 3" xfId="569" xr:uid="{00000000-0005-0000-0000-00001C010000}"/>
    <cellStyle name="20% - Accent1 2 4 3 3 2" xfId="570" xr:uid="{00000000-0005-0000-0000-00001D010000}"/>
    <cellStyle name="20% - Accent1 2 4 3 4" xfId="571" xr:uid="{00000000-0005-0000-0000-00001E010000}"/>
    <cellStyle name="20% - Accent1 2 4 4" xfId="572" xr:uid="{00000000-0005-0000-0000-00001F010000}"/>
    <cellStyle name="20% - Accent1 2 4 4 2" xfId="573" xr:uid="{00000000-0005-0000-0000-000020010000}"/>
    <cellStyle name="20% - Accent1 2 4 4 2 2" xfId="574" xr:uid="{00000000-0005-0000-0000-000021010000}"/>
    <cellStyle name="20% - Accent1 2 4 4 3" xfId="575" xr:uid="{00000000-0005-0000-0000-000022010000}"/>
    <cellStyle name="20% - Accent1 2 4 5" xfId="576" xr:uid="{00000000-0005-0000-0000-000023010000}"/>
    <cellStyle name="20% - Accent1 2 4 5 2" xfId="577" xr:uid="{00000000-0005-0000-0000-000024010000}"/>
    <cellStyle name="20% - Accent1 2 4 6" xfId="578" xr:uid="{00000000-0005-0000-0000-000025010000}"/>
    <cellStyle name="20% - Accent1 2 4 6 2" xfId="579" xr:uid="{00000000-0005-0000-0000-000026010000}"/>
    <cellStyle name="20% - Accent1 2 4 7" xfId="580" xr:uid="{00000000-0005-0000-0000-000027010000}"/>
    <cellStyle name="20% - Accent1 2 5" xfId="581" xr:uid="{00000000-0005-0000-0000-000028010000}"/>
    <cellStyle name="20% - Accent1 2 5 2" xfId="582" xr:uid="{00000000-0005-0000-0000-000029010000}"/>
    <cellStyle name="20% - Accent1 2 5 2 2" xfId="583" xr:uid="{00000000-0005-0000-0000-00002A010000}"/>
    <cellStyle name="20% - Accent1 2 5 3" xfId="584" xr:uid="{00000000-0005-0000-0000-00002B010000}"/>
    <cellStyle name="20% - Accent1 3" xfId="585" xr:uid="{00000000-0005-0000-0000-00002C010000}"/>
    <cellStyle name="20% - Accent1 4" xfId="586" xr:uid="{00000000-0005-0000-0000-00002D010000}"/>
    <cellStyle name="20% - Accent2 2" xfId="5" xr:uid="{00000000-0005-0000-0000-00002E010000}"/>
    <cellStyle name="20% - Accent2 2 2" xfId="587" xr:uid="{00000000-0005-0000-0000-00002F010000}"/>
    <cellStyle name="20% - Accent2 2 2 2" xfId="588" xr:uid="{00000000-0005-0000-0000-000030010000}"/>
    <cellStyle name="20% - Accent2 2 2 2 2" xfId="589" xr:uid="{00000000-0005-0000-0000-000031010000}"/>
    <cellStyle name="20% - Accent2 2 2 2 2 2" xfId="590" xr:uid="{00000000-0005-0000-0000-000032010000}"/>
    <cellStyle name="20% - Accent2 2 2 2 2 2 2" xfId="591" xr:uid="{00000000-0005-0000-0000-000033010000}"/>
    <cellStyle name="20% - Accent2 2 2 2 2 2 2 2" xfId="592" xr:uid="{00000000-0005-0000-0000-000034010000}"/>
    <cellStyle name="20% - Accent2 2 2 2 2 2 3" xfId="593" xr:uid="{00000000-0005-0000-0000-000035010000}"/>
    <cellStyle name="20% - Accent2 2 2 2 2 2 3 2" xfId="594" xr:uid="{00000000-0005-0000-0000-000036010000}"/>
    <cellStyle name="20% - Accent2 2 2 2 2 2 4" xfId="595" xr:uid="{00000000-0005-0000-0000-000037010000}"/>
    <cellStyle name="20% - Accent2 2 2 2 2 3" xfId="596" xr:uid="{00000000-0005-0000-0000-000038010000}"/>
    <cellStyle name="20% - Accent2 2 2 2 2 3 2" xfId="597" xr:uid="{00000000-0005-0000-0000-000039010000}"/>
    <cellStyle name="20% - Accent2 2 2 2 2 3 2 2" xfId="598" xr:uid="{00000000-0005-0000-0000-00003A010000}"/>
    <cellStyle name="20% - Accent2 2 2 2 2 3 3" xfId="599" xr:uid="{00000000-0005-0000-0000-00003B010000}"/>
    <cellStyle name="20% - Accent2 2 2 2 2 4" xfId="600" xr:uid="{00000000-0005-0000-0000-00003C010000}"/>
    <cellStyle name="20% - Accent2 2 2 2 2 4 2" xfId="601" xr:uid="{00000000-0005-0000-0000-00003D010000}"/>
    <cellStyle name="20% - Accent2 2 2 2 2 5" xfId="602" xr:uid="{00000000-0005-0000-0000-00003E010000}"/>
    <cellStyle name="20% - Accent2 2 2 2 2 5 2" xfId="603" xr:uid="{00000000-0005-0000-0000-00003F010000}"/>
    <cellStyle name="20% - Accent2 2 2 2 2 6" xfId="604" xr:uid="{00000000-0005-0000-0000-000040010000}"/>
    <cellStyle name="20% - Accent2 2 2 2 3" xfId="605" xr:uid="{00000000-0005-0000-0000-000041010000}"/>
    <cellStyle name="20% - Accent2 2 2 2 3 2" xfId="606" xr:uid="{00000000-0005-0000-0000-000042010000}"/>
    <cellStyle name="20% - Accent2 2 2 2 3 2 2" xfId="607" xr:uid="{00000000-0005-0000-0000-000043010000}"/>
    <cellStyle name="20% - Accent2 2 2 2 3 3" xfId="608" xr:uid="{00000000-0005-0000-0000-000044010000}"/>
    <cellStyle name="20% - Accent2 2 2 2 3 3 2" xfId="609" xr:uid="{00000000-0005-0000-0000-000045010000}"/>
    <cellStyle name="20% - Accent2 2 2 2 3 4" xfId="610" xr:uid="{00000000-0005-0000-0000-000046010000}"/>
    <cellStyle name="20% - Accent2 2 2 2 4" xfId="611" xr:uid="{00000000-0005-0000-0000-000047010000}"/>
    <cellStyle name="20% - Accent2 2 2 2 4 2" xfId="612" xr:uid="{00000000-0005-0000-0000-000048010000}"/>
    <cellStyle name="20% - Accent2 2 2 2 4 2 2" xfId="613" xr:uid="{00000000-0005-0000-0000-000049010000}"/>
    <cellStyle name="20% - Accent2 2 2 2 4 3" xfId="614" xr:uid="{00000000-0005-0000-0000-00004A010000}"/>
    <cellStyle name="20% - Accent2 2 2 2 5" xfId="615" xr:uid="{00000000-0005-0000-0000-00004B010000}"/>
    <cellStyle name="20% - Accent2 2 2 2 5 2" xfId="616" xr:uid="{00000000-0005-0000-0000-00004C010000}"/>
    <cellStyle name="20% - Accent2 2 2 2 6" xfId="617" xr:uid="{00000000-0005-0000-0000-00004D010000}"/>
    <cellStyle name="20% - Accent2 2 2 2 6 2" xfId="618" xr:uid="{00000000-0005-0000-0000-00004E010000}"/>
    <cellStyle name="20% - Accent2 2 2 2 7" xfId="619" xr:uid="{00000000-0005-0000-0000-00004F010000}"/>
    <cellStyle name="20% - Accent2 2 2 3" xfId="620" xr:uid="{00000000-0005-0000-0000-000050010000}"/>
    <cellStyle name="20% - Accent2 2 2 3 2" xfId="621" xr:uid="{00000000-0005-0000-0000-000051010000}"/>
    <cellStyle name="20% - Accent2 2 2 3 2 2" xfId="622" xr:uid="{00000000-0005-0000-0000-000052010000}"/>
    <cellStyle name="20% - Accent2 2 2 3 2 2 2" xfId="623" xr:uid="{00000000-0005-0000-0000-000053010000}"/>
    <cellStyle name="20% - Accent2 2 2 3 2 2 2 2" xfId="624" xr:uid="{00000000-0005-0000-0000-000054010000}"/>
    <cellStyle name="20% - Accent2 2 2 3 2 2 3" xfId="625" xr:uid="{00000000-0005-0000-0000-000055010000}"/>
    <cellStyle name="20% - Accent2 2 2 3 2 2 3 2" xfId="626" xr:uid="{00000000-0005-0000-0000-000056010000}"/>
    <cellStyle name="20% - Accent2 2 2 3 2 2 4" xfId="627" xr:uid="{00000000-0005-0000-0000-000057010000}"/>
    <cellStyle name="20% - Accent2 2 2 3 2 3" xfId="628" xr:uid="{00000000-0005-0000-0000-000058010000}"/>
    <cellStyle name="20% - Accent2 2 2 3 2 3 2" xfId="629" xr:uid="{00000000-0005-0000-0000-000059010000}"/>
    <cellStyle name="20% - Accent2 2 2 3 2 3 2 2" xfId="630" xr:uid="{00000000-0005-0000-0000-00005A010000}"/>
    <cellStyle name="20% - Accent2 2 2 3 2 3 3" xfId="631" xr:uid="{00000000-0005-0000-0000-00005B010000}"/>
    <cellStyle name="20% - Accent2 2 2 3 2 4" xfId="632" xr:uid="{00000000-0005-0000-0000-00005C010000}"/>
    <cellStyle name="20% - Accent2 2 2 3 2 4 2" xfId="633" xr:uid="{00000000-0005-0000-0000-00005D010000}"/>
    <cellStyle name="20% - Accent2 2 2 3 2 5" xfId="634" xr:uid="{00000000-0005-0000-0000-00005E010000}"/>
    <cellStyle name="20% - Accent2 2 2 3 2 5 2" xfId="635" xr:uid="{00000000-0005-0000-0000-00005F010000}"/>
    <cellStyle name="20% - Accent2 2 2 3 2 6" xfId="636" xr:uid="{00000000-0005-0000-0000-000060010000}"/>
    <cellStyle name="20% - Accent2 2 2 3 3" xfId="637" xr:uid="{00000000-0005-0000-0000-000061010000}"/>
    <cellStyle name="20% - Accent2 2 2 3 3 2" xfId="638" xr:uid="{00000000-0005-0000-0000-000062010000}"/>
    <cellStyle name="20% - Accent2 2 2 3 3 2 2" xfId="639" xr:uid="{00000000-0005-0000-0000-000063010000}"/>
    <cellStyle name="20% - Accent2 2 2 3 3 3" xfId="640" xr:uid="{00000000-0005-0000-0000-000064010000}"/>
    <cellStyle name="20% - Accent2 2 2 3 3 3 2" xfId="641" xr:uid="{00000000-0005-0000-0000-000065010000}"/>
    <cellStyle name="20% - Accent2 2 2 3 3 4" xfId="642" xr:uid="{00000000-0005-0000-0000-000066010000}"/>
    <cellStyle name="20% - Accent2 2 2 3 4" xfId="643" xr:uid="{00000000-0005-0000-0000-000067010000}"/>
    <cellStyle name="20% - Accent2 2 2 3 4 2" xfId="644" xr:uid="{00000000-0005-0000-0000-000068010000}"/>
    <cellStyle name="20% - Accent2 2 2 3 4 2 2" xfId="645" xr:uid="{00000000-0005-0000-0000-000069010000}"/>
    <cellStyle name="20% - Accent2 2 2 3 4 3" xfId="646" xr:uid="{00000000-0005-0000-0000-00006A010000}"/>
    <cellStyle name="20% - Accent2 2 2 3 5" xfId="647" xr:uid="{00000000-0005-0000-0000-00006B010000}"/>
    <cellStyle name="20% - Accent2 2 2 3 5 2" xfId="648" xr:uid="{00000000-0005-0000-0000-00006C010000}"/>
    <cellStyle name="20% - Accent2 2 2 3 6" xfId="649" xr:uid="{00000000-0005-0000-0000-00006D010000}"/>
    <cellStyle name="20% - Accent2 2 2 3 6 2" xfId="650" xr:uid="{00000000-0005-0000-0000-00006E010000}"/>
    <cellStyle name="20% - Accent2 2 2 3 7" xfId="651" xr:uid="{00000000-0005-0000-0000-00006F010000}"/>
    <cellStyle name="20% - Accent2 2 2 4" xfId="652" xr:uid="{00000000-0005-0000-0000-000070010000}"/>
    <cellStyle name="20% - Accent2 2 2 4 2" xfId="653" xr:uid="{00000000-0005-0000-0000-000071010000}"/>
    <cellStyle name="20% - Accent2 2 2 4 2 2" xfId="654" xr:uid="{00000000-0005-0000-0000-000072010000}"/>
    <cellStyle name="20% - Accent2 2 2 4 2 2 2" xfId="655" xr:uid="{00000000-0005-0000-0000-000073010000}"/>
    <cellStyle name="20% - Accent2 2 2 4 2 3" xfId="656" xr:uid="{00000000-0005-0000-0000-000074010000}"/>
    <cellStyle name="20% - Accent2 2 2 4 2 3 2" xfId="657" xr:uid="{00000000-0005-0000-0000-000075010000}"/>
    <cellStyle name="20% - Accent2 2 2 4 2 4" xfId="658" xr:uid="{00000000-0005-0000-0000-000076010000}"/>
    <cellStyle name="20% - Accent2 2 2 4 3" xfId="659" xr:uid="{00000000-0005-0000-0000-000077010000}"/>
    <cellStyle name="20% - Accent2 2 2 4 3 2" xfId="660" xr:uid="{00000000-0005-0000-0000-000078010000}"/>
    <cellStyle name="20% - Accent2 2 2 4 3 2 2" xfId="661" xr:uid="{00000000-0005-0000-0000-000079010000}"/>
    <cellStyle name="20% - Accent2 2 2 4 3 3" xfId="662" xr:uid="{00000000-0005-0000-0000-00007A010000}"/>
    <cellStyle name="20% - Accent2 2 2 4 4" xfId="663" xr:uid="{00000000-0005-0000-0000-00007B010000}"/>
    <cellStyle name="20% - Accent2 2 2 4 4 2" xfId="664" xr:uid="{00000000-0005-0000-0000-00007C010000}"/>
    <cellStyle name="20% - Accent2 2 2 4 5" xfId="665" xr:uid="{00000000-0005-0000-0000-00007D010000}"/>
    <cellStyle name="20% - Accent2 2 2 4 5 2" xfId="666" xr:uid="{00000000-0005-0000-0000-00007E010000}"/>
    <cellStyle name="20% - Accent2 2 2 4 6" xfId="667" xr:uid="{00000000-0005-0000-0000-00007F010000}"/>
    <cellStyle name="20% - Accent2 2 2 5" xfId="668" xr:uid="{00000000-0005-0000-0000-000080010000}"/>
    <cellStyle name="20% - Accent2 2 2 5 2" xfId="669" xr:uid="{00000000-0005-0000-0000-000081010000}"/>
    <cellStyle name="20% - Accent2 2 2 5 2 2" xfId="670" xr:uid="{00000000-0005-0000-0000-000082010000}"/>
    <cellStyle name="20% - Accent2 2 2 5 3" xfId="671" xr:uid="{00000000-0005-0000-0000-000083010000}"/>
    <cellStyle name="20% - Accent2 2 2 5 3 2" xfId="672" xr:uid="{00000000-0005-0000-0000-000084010000}"/>
    <cellStyle name="20% - Accent2 2 2 5 4" xfId="673" xr:uid="{00000000-0005-0000-0000-000085010000}"/>
    <cellStyle name="20% - Accent2 2 2 6" xfId="674" xr:uid="{00000000-0005-0000-0000-000086010000}"/>
    <cellStyle name="20% - Accent2 2 2 6 2" xfId="675" xr:uid="{00000000-0005-0000-0000-000087010000}"/>
    <cellStyle name="20% - Accent2 2 2 6 2 2" xfId="676" xr:uid="{00000000-0005-0000-0000-000088010000}"/>
    <cellStyle name="20% - Accent2 2 2 6 3" xfId="677" xr:uid="{00000000-0005-0000-0000-000089010000}"/>
    <cellStyle name="20% - Accent2 2 2 7" xfId="678" xr:uid="{00000000-0005-0000-0000-00008A010000}"/>
    <cellStyle name="20% - Accent2 2 2 7 2" xfId="679" xr:uid="{00000000-0005-0000-0000-00008B010000}"/>
    <cellStyle name="20% - Accent2 2 2 8" xfId="680" xr:uid="{00000000-0005-0000-0000-00008C010000}"/>
    <cellStyle name="20% - Accent2 2 2 8 2" xfId="681" xr:uid="{00000000-0005-0000-0000-00008D010000}"/>
    <cellStyle name="20% - Accent2 2 2 9" xfId="682" xr:uid="{00000000-0005-0000-0000-00008E010000}"/>
    <cellStyle name="20% - Accent2 2 3" xfId="683" xr:uid="{00000000-0005-0000-0000-00008F010000}"/>
    <cellStyle name="20% - Accent2 2 3 2" xfId="684" xr:uid="{00000000-0005-0000-0000-000090010000}"/>
    <cellStyle name="20% - Accent2 2 3 2 2" xfId="685" xr:uid="{00000000-0005-0000-0000-000091010000}"/>
    <cellStyle name="20% - Accent2 2 3 2 2 2" xfId="686" xr:uid="{00000000-0005-0000-0000-000092010000}"/>
    <cellStyle name="20% - Accent2 2 3 2 2 2 2" xfId="687" xr:uid="{00000000-0005-0000-0000-000093010000}"/>
    <cellStyle name="20% - Accent2 2 3 2 2 3" xfId="688" xr:uid="{00000000-0005-0000-0000-000094010000}"/>
    <cellStyle name="20% - Accent2 2 3 2 2 3 2" xfId="689" xr:uid="{00000000-0005-0000-0000-000095010000}"/>
    <cellStyle name="20% - Accent2 2 3 2 2 4" xfId="690" xr:uid="{00000000-0005-0000-0000-000096010000}"/>
    <cellStyle name="20% - Accent2 2 3 2 3" xfId="691" xr:uid="{00000000-0005-0000-0000-000097010000}"/>
    <cellStyle name="20% - Accent2 2 3 2 3 2" xfId="692" xr:uid="{00000000-0005-0000-0000-000098010000}"/>
    <cellStyle name="20% - Accent2 2 3 2 3 2 2" xfId="693" xr:uid="{00000000-0005-0000-0000-000099010000}"/>
    <cellStyle name="20% - Accent2 2 3 2 3 3" xfId="694" xr:uid="{00000000-0005-0000-0000-00009A010000}"/>
    <cellStyle name="20% - Accent2 2 3 2 4" xfId="695" xr:uid="{00000000-0005-0000-0000-00009B010000}"/>
    <cellStyle name="20% - Accent2 2 3 2 4 2" xfId="696" xr:uid="{00000000-0005-0000-0000-00009C010000}"/>
    <cellStyle name="20% - Accent2 2 3 2 5" xfId="697" xr:uid="{00000000-0005-0000-0000-00009D010000}"/>
    <cellStyle name="20% - Accent2 2 3 2 5 2" xfId="698" xr:uid="{00000000-0005-0000-0000-00009E010000}"/>
    <cellStyle name="20% - Accent2 2 3 2 6" xfId="699" xr:uid="{00000000-0005-0000-0000-00009F010000}"/>
    <cellStyle name="20% - Accent2 2 3 3" xfId="700" xr:uid="{00000000-0005-0000-0000-0000A0010000}"/>
    <cellStyle name="20% - Accent2 2 3 3 2" xfId="701" xr:uid="{00000000-0005-0000-0000-0000A1010000}"/>
    <cellStyle name="20% - Accent2 2 3 3 2 2" xfId="702" xr:uid="{00000000-0005-0000-0000-0000A2010000}"/>
    <cellStyle name="20% - Accent2 2 3 3 3" xfId="703" xr:uid="{00000000-0005-0000-0000-0000A3010000}"/>
    <cellStyle name="20% - Accent2 2 3 3 3 2" xfId="704" xr:uid="{00000000-0005-0000-0000-0000A4010000}"/>
    <cellStyle name="20% - Accent2 2 3 3 4" xfId="705" xr:uid="{00000000-0005-0000-0000-0000A5010000}"/>
    <cellStyle name="20% - Accent2 2 3 4" xfId="706" xr:uid="{00000000-0005-0000-0000-0000A6010000}"/>
    <cellStyle name="20% - Accent2 2 3 4 2" xfId="707" xr:uid="{00000000-0005-0000-0000-0000A7010000}"/>
    <cellStyle name="20% - Accent2 2 3 4 2 2" xfId="708" xr:uid="{00000000-0005-0000-0000-0000A8010000}"/>
    <cellStyle name="20% - Accent2 2 3 4 3" xfId="709" xr:uid="{00000000-0005-0000-0000-0000A9010000}"/>
    <cellStyle name="20% - Accent2 2 3 5" xfId="710" xr:uid="{00000000-0005-0000-0000-0000AA010000}"/>
    <cellStyle name="20% - Accent2 2 3 5 2" xfId="711" xr:uid="{00000000-0005-0000-0000-0000AB010000}"/>
    <cellStyle name="20% - Accent2 2 3 6" xfId="712" xr:uid="{00000000-0005-0000-0000-0000AC010000}"/>
    <cellStyle name="20% - Accent2 2 3 6 2" xfId="713" xr:uid="{00000000-0005-0000-0000-0000AD010000}"/>
    <cellStyle name="20% - Accent2 2 3 7" xfId="714" xr:uid="{00000000-0005-0000-0000-0000AE010000}"/>
    <cellStyle name="20% - Accent2 2 4" xfId="715" xr:uid="{00000000-0005-0000-0000-0000AF010000}"/>
    <cellStyle name="20% - Accent2 2 4 2" xfId="716" xr:uid="{00000000-0005-0000-0000-0000B0010000}"/>
    <cellStyle name="20% - Accent2 2 4 2 2" xfId="717" xr:uid="{00000000-0005-0000-0000-0000B1010000}"/>
    <cellStyle name="20% - Accent2 2 4 2 2 2" xfId="718" xr:uid="{00000000-0005-0000-0000-0000B2010000}"/>
    <cellStyle name="20% - Accent2 2 4 2 2 2 2" xfId="719" xr:uid="{00000000-0005-0000-0000-0000B3010000}"/>
    <cellStyle name="20% - Accent2 2 4 2 2 3" xfId="720" xr:uid="{00000000-0005-0000-0000-0000B4010000}"/>
    <cellStyle name="20% - Accent2 2 4 2 2 3 2" xfId="721" xr:uid="{00000000-0005-0000-0000-0000B5010000}"/>
    <cellStyle name="20% - Accent2 2 4 2 2 4" xfId="722" xr:uid="{00000000-0005-0000-0000-0000B6010000}"/>
    <cellStyle name="20% - Accent2 2 4 2 3" xfId="723" xr:uid="{00000000-0005-0000-0000-0000B7010000}"/>
    <cellStyle name="20% - Accent2 2 4 2 3 2" xfId="724" xr:uid="{00000000-0005-0000-0000-0000B8010000}"/>
    <cellStyle name="20% - Accent2 2 4 2 3 2 2" xfId="725" xr:uid="{00000000-0005-0000-0000-0000B9010000}"/>
    <cellStyle name="20% - Accent2 2 4 2 3 3" xfId="726" xr:uid="{00000000-0005-0000-0000-0000BA010000}"/>
    <cellStyle name="20% - Accent2 2 4 2 4" xfId="727" xr:uid="{00000000-0005-0000-0000-0000BB010000}"/>
    <cellStyle name="20% - Accent2 2 4 2 4 2" xfId="728" xr:uid="{00000000-0005-0000-0000-0000BC010000}"/>
    <cellStyle name="20% - Accent2 2 4 2 5" xfId="729" xr:uid="{00000000-0005-0000-0000-0000BD010000}"/>
    <cellStyle name="20% - Accent2 2 4 2 5 2" xfId="730" xr:uid="{00000000-0005-0000-0000-0000BE010000}"/>
    <cellStyle name="20% - Accent2 2 4 2 6" xfId="731" xr:uid="{00000000-0005-0000-0000-0000BF010000}"/>
    <cellStyle name="20% - Accent2 2 4 3" xfId="732" xr:uid="{00000000-0005-0000-0000-0000C0010000}"/>
    <cellStyle name="20% - Accent2 2 4 3 2" xfId="733" xr:uid="{00000000-0005-0000-0000-0000C1010000}"/>
    <cellStyle name="20% - Accent2 2 4 3 2 2" xfId="734" xr:uid="{00000000-0005-0000-0000-0000C2010000}"/>
    <cellStyle name="20% - Accent2 2 4 3 3" xfId="735" xr:uid="{00000000-0005-0000-0000-0000C3010000}"/>
    <cellStyle name="20% - Accent2 2 4 3 3 2" xfId="736" xr:uid="{00000000-0005-0000-0000-0000C4010000}"/>
    <cellStyle name="20% - Accent2 2 4 3 4" xfId="737" xr:uid="{00000000-0005-0000-0000-0000C5010000}"/>
    <cellStyle name="20% - Accent2 2 4 4" xfId="738" xr:uid="{00000000-0005-0000-0000-0000C6010000}"/>
    <cellStyle name="20% - Accent2 2 4 4 2" xfId="739" xr:uid="{00000000-0005-0000-0000-0000C7010000}"/>
    <cellStyle name="20% - Accent2 2 4 4 2 2" xfId="740" xr:uid="{00000000-0005-0000-0000-0000C8010000}"/>
    <cellStyle name="20% - Accent2 2 4 4 3" xfId="741" xr:uid="{00000000-0005-0000-0000-0000C9010000}"/>
    <cellStyle name="20% - Accent2 2 4 5" xfId="742" xr:uid="{00000000-0005-0000-0000-0000CA010000}"/>
    <cellStyle name="20% - Accent2 2 4 5 2" xfId="743" xr:uid="{00000000-0005-0000-0000-0000CB010000}"/>
    <cellStyle name="20% - Accent2 2 4 6" xfId="744" xr:uid="{00000000-0005-0000-0000-0000CC010000}"/>
    <cellStyle name="20% - Accent2 2 4 6 2" xfId="745" xr:uid="{00000000-0005-0000-0000-0000CD010000}"/>
    <cellStyle name="20% - Accent2 2 4 7" xfId="746" xr:uid="{00000000-0005-0000-0000-0000CE010000}"/>
    <cellStyle name="20% - Accent2 2 5" xfId="747" xr:uid="{00000000-0005-0000-0000-0000CF010000}"/>
    <cellStyle name="20% - Accent2 2 5 2" xfId="748" xr:uid="{00000000-0005-0000-0000-0000D0010000}"/>
    <cellStyle name="20% - Accent2 2 5 2 2" xfId="749" xr:uid="{00000000-0005-0000-0000-0000D1010000}"/>
    <cellStyle name="20% - Accent2 2 5 3" xfId="750" xr:uid="{00000000-0005-0000-0000-0000D2010000}"/>
    <cellStyle name="20% - Accent2 3" xfId="751" xr:uid="{00000000-0005-0000-0000-0000D3010000}"/>
    <cellStyle name="20% - Accent2 4" xfId="752" xr:uid="{00000000-0005-0000-0000-0000D4010000}"/>
    <cellStyle name="20% - Accent3 2" xfId="6" xr:uid="{00000000-0005-0000-0000-0000D5010000}"/>
    <cellStyle name="20% - Accent3 2 2" xfId="753" xr:uid="{00000000-0005-0000-0000-0000D6010000}"/>
    <cellStyle name="20% - Accent3 2 2 2" xfId="754" xr:uid="{00000000-0005-0000-0000-0000D7010000}"/>
    <cellStyle name="20% - Accent3 2 2 2 2" xfId="755" xr:uid="{00000000-0005-0000-0000-0000D8010000}"/>
    <cellStyle name="20% - Accent3 2 2 2 2 2" xfId="756" xr:uid="{00000000-0005-0000-0000-0000D9010000}"/>
    <cellStyle name="20% - Accent3 2 2 2 2 2 2" xfId="757" xr:uid="{00000000-0005-0000-0000-0000DA010000}"/>
    <cellStyle name="20% - Accent3 2 2 2 2 2 2 2" xfId="758" xr:uid="{00000000-0005-0000-0000-0000DB010000}"/>
    <cellStyle name="20% - Accent3 2 2 2 2 2 3" xfId="759" xr:uid="{00000000-0005-0000-0000-0000DC010000}"/>
    <cellStyle name="20% - Accent3 2 2 2 2 2 3 2" xfId="760" xr:uid="{00000000-0005-0000-0000-0000DD010000}"/>
    <cellStyle name="20% - Accent3 2 2 2 2 2 4" xfId="761" xr:uid="{00000000-0005-0000-0000-0000DE010000}"/>
    <cellStyle name="20% - Accent3 2 2 2 2 3" xfId="762" xr:uid="{00000000-0005-0000-0000-0000DF010000}"/>
    <cellStyle name="20% - Accent3 2 2 2 2 3 2" xfId="763" xr:uid="{00000000-0005-0000-0000-0000E0010000}"/>
    <cellStyle name="20% - Accent3 2 2 2 2 3 2 2" xfId="764" xr:uid="{00000000-0005-0000-0000-0000E1010000}"/>
    <cellStyle name="20% - Accent3 2 2 2 2 3 3" xfId="765" xr:uid="{00000000-0005-0000-0000-0000E2010000}"/>
    <cellStyle name="20% - Accent3 2 2 2 2 4" xfId="766" xr:uid="{00000000-0005-0000-0000-0000E3010000}"/>
    <cellStyle name="20% - Accent3 2 2 2 2 4 2" xfId="767" xr:uid="{00000000-0005-0000-0000-0000E4010000}"/>
    <cellStyle name="20% - Accent3 2 2 2 2 5" xfId="768" xr:uid="{00000000-0005-0000-0000-0000E5010000}"/>
    <cellStyle name="20% - Accent3 2 2 2 2 5 2" xfId="769" xr:uid="{00000000-0005-0000-0000-0000E6010000}"/>
    <cellStyle name="20% - Accent3 2 2 2 2 6" xfId="770" xr:uid="{00000000-0005-0000-0000-0000E7010000}"/>
    <cellStyle name="20% - Accent3 2 2 2 3" xfId="771" xr:uid="{00000000-0005-0000-0000-0000E8010000}"/>
    <cellStyle name="20% - Accent3 2 2 2 3 2" xfId="772" xr:uid="{00000000-0005-0000-0000-0000E9010000}"/>
    <cellStyle name="20% - Accent3 2 2 2 3 2 2" xfId="773" xr:uid="{00000000-0005-0000-0000-0000EA010000}"/>
    <cellStyle name="20% - Accent3 2 2 2 3 3" xfId="774" xr:uid="{00000000-0005-0000-0000-0000EB010000}"/>
    <cellStyle name="20% - Accent3 2 2 2 3 3 2" xfId="775" xr:uid="{00000000-0005-0000-0000-0000EC010000}"/>
    <cellStyle name="20% - Accent3 2 2 2 3 4" xfId="776" xr:uid="{00000000-0005-0000-0000-0000ED010000}"/>
    <cellStyle name="20% - Accent3 2 2 2 4" xfId="777" xr:uid="{00000000-0005-0000-0000-0000EE010000}"/>
    <cellStyle name="20% - Accent3 2 2 2 4 2" xfId="778" xr:uid="{00000000-0005-0000-0000-0000EF010000}"/>
    <cellStyle name="20% - Accent3 2 2 2 4 2 2" xfId="779" xr:uid="{00000000-0005-0000-0000-0000F0010000}"/>
    <cellStyle name="20% - Accent3 2 2 2 4 3" xfId="780" xr:uid="{00000000-0005-0000-0000-0000F1010000}"/>
    <cellStyle name="20% - Accent3 2 2 2 5" xfId="781" xr:uid="{00000000-0005-0000-0000-0000F2010000}"/>
    <cellStyle name="20% - Accent3 2 2 2 5 2" xfId="782" xr:uid="{00000000-0005-0000-0000-0000F3010000}"/>
    <cellStyle name="20% - Accent3 2 2 2 6" xfId="783" xr:uid="{00000000-0005-0000-0000-0000F4010000}"/>
    <cellStyle name="20% - Accent3 2 2 2 6 2" xfId="784" xr:uid="{00000000-0005-0000-0000-0000F5010000}"/>
    <cellStyle name="20% - Accent3 2 2 2 7" xfId="785" xr:uid="{00000000-0005-0000-0000-0000F6010000}"/>
    <cellStyle name="20% - Accent3 2 2 3" xfId="786" xr:uid="{00000000-0005-0000-0000-0000F7010000}"/>
    <cellStyle name="20% - Accent3 2 2 3 2" xfId="787" xr:uid="{00000000-0005-0000-0000-0000F8010000}"/>
    <cellStyle name="20% - Accent3 2 2 3 2 2" xfId="788" xr:uid="{00000000-0005-0000-0000-0000F9010000}"/>
    <cellStyle name="20% - Accent3 2 2 3 2 2 2" xfId="789" xr:uid="{00000000-0005-0000-0000-0000FA010000}"/>
    <cellStyle name="20% - Accent3 2 2 3 2 2 2 2" xfId="790" xr:uid="{00000000-0005-0000-0000-0000FB010000}"/>
    <cellStyle name="20% - Accent3 2 2 3 2 2 3" xfId="791" xr:uid="{00000000-0005-0000-0000-0000FC010000}"/>
    <cellStyle name="20% - Accent3 2 2 3 2 2 3 2" xfId="792" xr:uid="{00000000-0005-0000-0000-0000FD010000}"/>
    <cellStyle name="20% - Accent3 2 2 3 2 2 4" xfId="793" xr:uid="{00000000-0005-0000-0000-0000FE010000}"/>
    <cellStyle name="20% - Accent3 2 2 3 2 3" xfId="794" xr:uid="{00000000-0005-0000-0000-0000FF010000}"/>
    <cellStyle name="20% - Accent3 2 2 3 2 3 2" xfId="795" xr:uid="{00000000-0005-0000-0000-000000020000}"/>
    <cellStyle name="20% - Accent3 2 2 3 2 3 2 2" xfId="796" xr:uid="{00000000-0005-0000-0000-000001020000}"/>
    <cellStyle name="20% - Accent3 2 2 3 2 3 3" xfId="797" xr:uid="{00000000-0005-0000-0000-000002020000}"/>
    <cellStyle name="20% - Accent3 2 2 3 2 4" xfId="798" xr:uid="{00000000-0005-0000-0000-000003020000}"/>
    <cellStyle name="20% - Accent3 2 2 3 2 4 2" xfId="799" xr:uid="{00000000-0005-0000-0000-000004020000}"/>
    <cellStyle name="20% - Accent3 2 2 3 2 5" xfId="800" xr:uid="{00000000-0005-0000-0000-000005020000}"/>
    <cellStyle name="20% - Accent3 2 2 3 2 5 2" xfId="801" xr:uid="{00000000-0005-0000-0000-000006020000}"/>
    <cellStyle name="20% - Accent3 2 2 3 2 6" xfId="802" xr:uid="{00000000-0005-0000-0000-000007020000}"/>
    <cellStyle name="20% - Accent3 2 2 3 3" xfId="803" xr:uid="{00000000-0005-0000-0000-000008020000}"/>
    <cellStyle name="20% - Accent3 2 2 3 3 2" xfId="804" xr:uid="{00000000-0005-0000-0000-000009020000}"/>
    <cellStyle name="20% - Accent3 2 2 3 3 2 2" xfId="805" xr:uid="{00000000-0005-0000-0000-00000A020000}"/>
    <cellStyle name="20% - Accent3 2 2 3 3 3" xfId="806" xr:uid="{00000000-0005-0000-0000-00000B020000}"/>
    <cellStyle name="20% - Accent3 2 2 3 3 3 2" xfId="807" xr:uid="{00000000-0005-0000-0000-00000C020000}"/>
    <cellStyle name="20% - Accent3 2 2 3 3 4" xfId="808" xr:uid="{00000000-0005-0000-0000-00000D020000}"/>
    <cellStyle name="20% - Accent3 2 2 3 4" xfId="809" xr:uid="{00000000-0005-0000-0000-00000E020000}"/>
    <cellStyle name="20% - Accent3 2 2 3 4 2" xfId="810" xr:uid="{00000000-0005-0000-0000-00000F020000}"/>
    <cellStyle name="20% - Accent3 2 2 3 4 2 2" xfId="811" xr:uid="{00000000-0005-0000-0000-000010020000}"/>
    <cellStyle name="20% - Accent3 2 2 3 4 3" xfId="812" xr:uid="{00000000-0005-0000-0000-000011020000}"/>
    <cellStyle name="20% - Accent3 2 2 3 5" xfId="813" xr:uid="{00000000-0005-0000-0000-000012020000}"/>
    <cellStyle name="20% - Accent3 2 2 3 5 2" xfId="814" xr:uid="{00000000-0005-0000-0000-000013020000}"/>
    <cellStyle name="20% - Accent3 2 2 3 6" xfId="815" xr:uid="{00000000-0005-0000-0000-000014020000}"/>
    <cellStyle name="20% - Accent3 2 2 3 6 2" xfId="816" xr:uid="{00000000-0005-0000-0000-000015020000}"/>
    <cellStyle name="20% - Accent3 2 2 3 7" xfId="817" xr:uid="{00000000-0005-0000-0000-000016020000}"/>
    <cellStyle name="20% - Accent3 2 2 4" xfId="818" xr:uid="{00000000-0005-0000-0000-000017020000}"/>
    <cellStyle name="20% - Accent3 2 2 4 2" xfId="819" xr:uid="{00000000-0005-0000-0000-000018020000}"/>
    <cellStyle name="20% - Accent3 2 2 4 2 2" xfId="820" xr:uid="{00000000-0005-0000-0000-000019020000}"/>
    <cellStyle name="20% - Accent3 2 2 4 2 2 2" xfId="821" xr:uid="{00000000-0005-0000-0000-00001A020000}"/>
    <cellStyle name="20% - Accent3 2 2 4 2 3" xfId="822" xr:uid="{00000000-0005-0000-0000-00001B020000}"/>
    <cellStyle name="20% - Accent3 2 2 4 2 3 2" xfId="823" xr:uid="{00000000-0005-0000-0000-00001C020000}"/>
    <cellStyle name="20% - Accent3 2 2 4 2 4" xfId="824" xr:uid="{00000000-0005-0000-0000-00001D020000}"/>
    <cellStyle name="20% - Accent3 2 2 4 3" xfId="825" xr:uid="{00000000-0005-0000-0000-00001E020000}"/>
    <cellStyle name="20% - Accent3 2 2 4 3 2" xfId="826" xr:uid="{00000000-0005-0000-0000-00001F020000}"/>
    <cellStyle name="20% - Accent3 2 2 4 3 2 2" xfId="827" xr:uid="{00000000-0005-0000-0000-000020020000}"/>
    <cellStyle name="20% - Accent3 2 2 4 3 3" xfId="828" xr:uid="{00000000-0005-0000-0000-000021020000}"/>
    <cellStyle name="20% - Accent3 2 2 4 4" xfId="829" xr:uid="{00000000-0005-0000-0000-000022020000}"/>
    <cellStyle name="20% - Accent3 2 2 4 4 2" xfId="830" xr:uid="{00000000-0005-0000-0000-000023020000}"/>
    <cellStyle name="20% - Accent3 2 2 4 5" xfId="831" xr:uid="{00000000-0005-0000-0000-000024020000}"/>
    <cellStyle name="20% - Accent3 2 2 4 5 2" xfId="832" xr:uid="{00000000-0005-0000-0000-000025020000}"/>
    <cellStyle name="20% - Accent3 2 2 4 6" xfId="833" xr:uid="{00000000-0005-0000-0000-000026020000}"/>
    <cellStyle name="20% - Accent3 2 2 5" xfId="834" xr:uid="{00000000-0005-0000-0000-000027020000}"/>
    <cellStyle name="20% - Accent3 2 2 5 2" xfId="835" xr:uid="{00000000-0005-0000-0000-000028020000}"/>
    <cellStyle name="20% - Accent3 2 2 5 2 2" xfId="836" xr:uid="{00000000-0005-0000-0000-000029020000}"/>
    <cellStyle name="20% - Accent3 2 2 5 3" xfId="837" xr:uid="{00000000-0005-0000-0000-00002A020000}"/>
    <cellStyle name="20% - Accent3 2 2 5 3 2" xfId="838" xr:uid="{00000000-0005-0000-0000-00002B020000}"/>
    <cellStyle name="20% - Accent3 2 2 5 4" xfId="839" xr:uid="{00000000-0005-0000-0000-00002C020000}"/>
    <cellStyle name="20% - Accent3 2 2 6" xfId="840" xr:uid="{00000000-0005-0000-0000-00002D020000}"/>
    <cellStyle name="20% - Accent3 2 2 6 2" xfId="841" xr:uid="{00000000-0005-0000-0000-00002E020000}"/>
    <cellStyle name="20% - Accent3 2 2 6 2 2" xfId="842" xr:uid="{00000000-0005-0000-0000-00002F020000}"/>
    <cellStyle name="20% - Accent3 2 2 6 3" xfId="843" xr:uid="{00000000-0005-0000-0000-000030020000}"/>
    <cellStyle name="20% - Accent3 2 2 7" xfId="844" xr:uid="{00000000-0005-0000-0000-000031020000}"/>
    <cellStyle name="20% - Accent3 2 2 7 2" xfId="845" xr:uid="{00000000-0005-0000-0000-000032020000}"/>
    <cellStyle name="20% - Accent3 2 2 8" xfId="846" xr:uid="{00000000-0005-0000-0000-000033020000}"/>
    <cellStyle name="20% - Accent3 2 2 8 2" xfId="847" xr:uid="{00000000-0005-0000-0000-000034020000}"/>
    <cellStyle name="20% - Accent3 2 2 9" xfId="848" xr:uid="{00000000-0005-0000-0000-000035020000}"/>
    <cellStyle name="20% - Accent3 2 3" xfId="849" xr:uid="{00000000-0005-0000-0000-000036020000}"/>
    <cellStyle name="20% - Accent3 2 3 2" xfId="850" xr:uid="{00000000-0005-0000-0000-000037020000}"/>
    <cellStyle name="20% - Accent3 2 3 2 2" xfId="851" xr:uid="{00000000-0005-0000-0000-000038020000}"/>
    <cellStyle name="20% - Accent3 2 3 2 2 2" xfId="852" xr:uid="{00000000-0005-0000-0000-000039020000}"/>
    <cellStyle name="20% - Accent3 2 3 2 2 2 2" xfId="853" xr:uid="{00000000-0005-0000-0000-00003A020000}"/>
    <cellStyle name="20% - Accent3 2 3 2 2 3" xfId="854" xr:uid="{00000000-0005-0000-0000-00003B020000}"/>
    <cellStyle name="20% - Accent3 2 3 2 2 3 2" xfId="855" xr:uid="{00000000-0005-0000-0000-00003C020000}"/>
    <cellStyle name="20% - Accent3 2 3 2 2 4" xfId="856" xr:uid="{00000000-0005-0000-0000-00003D020000}"/>
    <cellStyle name="20% - Accent3 2 3 2 3" xfId="857" xr:uid="{00000000-0005-0000-0000-00003E020000}"/>
    <cellStyle name="20% - Accent3 2 3 2 3 2" xfId="858" xr:uid="{00000000-0005-0000-0000-00003F020000}"/>
    <cellStyle name="20% - Accent3 2 3 2 3 2 2" xfId="859" xr:uid="{00000000-0005-0000-0000-000040020000}"/>
    <cellStyle name="20% - Accent3 2 3 2 3 3" xfId="860" xr:uid="{00000000-0005-0000-0000-000041020000}"/>
    <cellStyle name="20% - Accent3 2 3 2 4" xfId="861" xr:uid="{00000000-0005-0000-0000-000042020000}"/>
    <cellStyle name="20% - Accent3 2 3 2 4 2" xfId="862" xr:uid="{00000000-0005-0000-0000-000043020000}"/>
    <cellStyle name="20% - Accent3 2 3 2 5" xfId="863" xr:uid="{00000000-0005-0000-0000-000044020000}"/>
    <cellStyle name="20% - Accent3 2 3 2 5 2" xfId="864" xr:uid="{00000000-0005-0000-0000-000045020000}"/>
    <cellStyle name="20% - Accent3 2 3 2 6" xfId="865" xr:uid="{00000000-0005-0000-0000-000046020000}"/>
    <cellStyle name="20% - Accent3 2 3 3" xfId="866" xr:uid="{00000000-0005-0000-0000-000047020000}"/>
    <cellStyle name="20% - Accent3 2 3 3 2" xfId="867" xr:uid="{00000000-0005-0000-0000-000048020000}"/>
    <cellStyle name="20% - Accent3 2 3 3 2 2" xfId="868" xr:uid="{00000000-0005-0000-0000-000049020000}"/>
    <cellStyle name="20% - Accent3 2 3 3 3" xfId="869" xr:uid="{00000000-0005-0000-0000-00004A020000}"/>
    <cellStyle name="20% - Accent3 2 3 3 3 2" xfId="870" xr:uid="{00000000-0005-0000-0000-00004B020000}"/>
    <cellStyle name="20% - Accent3 2 3 3 4" xfId="871" xr:uid="{00000000-0005-0000-0000-00004C020000}"/>
    <cellStyle name="20% - Accent3 2 3 4" xfId="872" xr:uid="{00000000-0005-0000-0000-00004D020000}"/>
    <cellStyle name="20% - Accent3 2 3 4 2" xfId="873" xr:uid="{00000000-0005-0000-0000-00004E020000}"/>
    <cellStyle name="20% - Accent3 2 3 4 2 2" xfId="874" xr:uid="{00000000-0005-0000-0000-00004F020000}"/>
    <cellStyle name="20% - Accent3 2 3 4 3" xfId="875" xr:uid="{00000000-0005-0000-0000-000050020000}"/>
    <cellStyle name="20% - Accent3 2 3 5" xfId="876" xr:uid="{00000000-0005-0000-0000-000051020000}"/>
    <cellStyle name="20% - Accent3 2 3 5 2" xfId="877" xr:uid="{00000000-0005-0000-0000-000052020000}"/>
    <cellStyle name="20% - Accent3 2 3 6" xfId="878" xr:uid="{00000000-0005-0000-0000-000053020000}"/>
    <cellStyle name="20% - Accent3 2 3 6 2" xfId="879" xr:uid="{00000000-0005-0000-0000-000054020000}"/>
    <cellStyle name="20% - Accent3 2 3 7" xfId="880" xr:uid="{00000000-0005-0000-0000-000055020000}"/>
    <cellStyle name="20% - Accent3 2 4" xfId="881" xr:uid="{00000000-0005-0000-0000-000056020000}"/>
    <cellStyle name="20% - Accent3 2 4 2" xfId="882" xr:uid="{00000000-0005-0000-0000-000057020000}"/>
    <cellStyle name="20% - Accent3 2 4 2 2" xfId="883" xr:uid="{00000000-0005-0000-0000-000058020000}"/>
    <cellStyle name="20% - Accent3 2 4 2 2 2" xfId="884" xr:uid="{00000000-0005-0000-0000-000059020000}"/>
    <cellStyle name="20% - Accent3 2 4 2 2 2 2" xfId="885" xr:uid="{00000000-0005-0000-0000-00005A020000}"/>
    <cellStyle name="20% - Accent3 2 4 2 2 3" xfId="886" xr:uid="{00000000-0005-0000-0000-00005B020000}"/>
    <cellStyle name="20% - Accent3 2 4 2 2 3 2" xfId="887" xr:uid="{00000000-0005-0000-0000-00005C020000}"/>
    <cellStyle name="20% - Accent3 2 4 2 2 4" xfId="888" xr:uid="{00000000-0005-0000-0000-00005D020000}"/>
    <cellStyle name="20% - Accent3 2 4 2 3" xfId="889" xr:uid="{00000000-0005-0000-0000-00005E020000}"/>
    <cellStyle name="20% - Accent3 2 4 2 3 2" xfId="890" xr:uid="{00000000-0005-0000-0000-00005F020000}"/>
    <cellStyle name="20% - Accent3 2 4 2 3 2 2" xfId="891" xr:uid="{00000000-0005-0000-0000-000060020000}"/>
    <cellStyle name="20% - Accent3 2 4 2 3 3" xfId="892" xr:uid="{00000000-0005-0000-0000-000061020000}"/>
    <cellStyle name="20% - Accent3 2 4 2 4" xfId="893" xr:uid="{00000000-0005-0000-0000-000062020000}"/>
    <cellStyle name="20% - Accent3 2 4 2 4 2" xfId="894" xr:uid="{00000000-0005-0000-0000-000063020000}"/>
    <cellStyle name="20% - Accent3 2 4 2 5" xfId="895" xr:uid="{00000000-0005-0000-0000-000064020000}"/>
    <cellStyle name="20% - Accent3 2 4 2 5 2" xfId="896" xr:uid="{00000000-0005-0000-0000-000065020000}"/>
    <cellStyle name="20% - Accent3 2 4 2 6" xfId="897" xr:uid="{00000000-0005-0000-0000-000066020000}"/>
    <cellStyle name="20% - Accent3 2 4 3" xfId="898" xr:uid="{00000000-0005-0000-0000-000067020000}"/>
    <cellStyle name="20% - Accent3 2 4 3 2" xfId="899" xr:uid="{00000000-0005-0000-0000-000068020000}"/>
    <cellStyle name="20% - Accent3 2 4 3 2 2" xfId="900" xr:uid="{00000000-0005-0000-0000-000069020000}"/>
    <cellStyle name="20% - Accent3 2 4 3 3" xfId="901" xr:uid="{00000000-0005-0000-0000-00006A020000}"/>
    <cellStyle name="20% - Accent3 2 4 3 3 2" xfId="902" xr:uid="{00000000-0005-0000-0000-00006B020000}"/>
    <cellStyle name="20% - Accent3 2 4 3 4" xfId="903" xr:uid="{00000000-0005-0000-0000-00006C020000}"/>
    <cellStyle name="20% - Accent3 2 4 4" xfId="904" xr:uid="{00000000-0005-0000-0000-00006D020000}"/>
    <cellStyle name="20% - Accent3 2 4 4 2" xfId="905" xr:uid="{00000000-0005-0000-0000-00006E020000}"/>
    <cellStyle name="20% - Accent3 2 4 4 2 2" xfId="906" xr:uid="{00000000-0005-0000-0000-00006F020000}"/>
    <cellStyle name="20% - Accent3 2 4 4 3" xfId="907" xr:uid="{00000000-0005-0000-0000-000070020000}"/>
    <cellStyle name="20% - Accent3 2 4 5" xfId="908" xr:uid="{00000000-0005-0000-0000-000071020000}"/>
    <cellStyle name="20% - Accent3 2 4 5 2" xfId="909" xr:uid="{00000000-0005-0000-0000-000072020000}"/>
    <cellStyle name="20% - Accent3 2 4 6" xfId="910" xr:uid="{00000000-0005-0000-0000-000073020000}"/>
    <cellStyle name="20% - Accent3 2 4 6 2" xfId="911" xr:uid="{00000000-0005-0000-0000-000074020000}"/>
    <cellStyle name="20% - Accent3 2 4 7" xfId="912" xr:uid="{00000000-0005-0000-0000-000075020000}"/>
    <cellStyle name="20% - Accent3 2 5" xfId="913" xr:uid="{00000000-0005-0000-0000-000076020000}"/>
    <cellStyle name="20% - Accent3 2 5 2" xfId="914" xr:uid="{00000000-0005-0000-0000-000077020000}"/>
    <cellStyle name="20% - Accent3 2 5 2 2" xfId="915" xr:uid="{00000000-0005-0000-0000-000078020000}"/>
    <cellStyle name="20% - Accent3 2 5 3" xfId="916" xr:uid="{00000000-0005-0000-0000-000079020000}"/>
    <cellStyle name="20% - Accent3 3" xfId="917" xr:uid="{00000000-0005-0000-0000-00007A020000}"/>
    <cellStyle name="20% - Accent3 4" xfId="918" xr:uid="{00000000-0005-0000-0000-00007B020000}"/>
    <cellStyle name="20% - Accent4 2" xfId="7" xr:uid="{00000000-0005-0000-0000-00007C020000}"/>
    <cellStyle name="20% - Accent4 2 2" xfId="919" xr:uid="{00000000-0005-0000-0000-00007D020000}"/>
    <cellStyle name="20% - Accent4 2 2 2" xfId="920" xr:uid="{00000000-0005-0000-0000-00007E020000}"/>
    <cellStyle name="20% - Accent4 2 2 2 2" xfId="921" xr:uid="{00000000-0005-0000-0000-00007F020000}"/>
    <cellStyle name="20% - Accent4 2 2 2 2 2" xfId="922" xr:uid="{00000000-0005-0000-0000-000080020000}"/>
    <cellStyle name="20% - Accent4 2 2 2 2 2 2" xfId="923" xr:uid="{00000000-0005-0000-0000-000081020000}"/>
    <cellStyle name="20% - Accent4 2 2 2 2 2 2 2" xfId="924" xr:uid="{00000000-0005-0000-0000-000082020000}"/>
    <cellStyle name="20% - Accent4 2 2 2 2 2 3" xfId="925" xr:uid="{00000000-0005-0000-0000-000083020000}"/>
    <cellStyle name="20% - Accent4 2 2 2 2 2 3 2" xfId="926" xr:uid="{00000000-0005-0000-0000-000084020000}"/>
    <cellStyle name="20% - Accent4 2 2 2 2 2 4" xfId="927" xr:uid="{00000000-0005-0000-0000-000085020000}"/>
    <cellStyle name="20% - Accent4 2 2 2 2 3" xfId="928" xr:uid="{00000000-0005-0000-0000-000086020000}"/>
    <cellStyle name="20% - Accent4 2 2 2 2 3 2" xfId="929" xr:uid="{00000000-0005-0000-0000-000087020000}"/>
    <cellStyle name="20% - Accent4 2 2 2 2 3 2 2" xfId="930" xr:uid="{00000000-0005-0000-0000-000088020000}"/>
    <cellStyle name="20% - Accent4 2 2 2 2 3 3" xfId="931" xr:uid="{00000000-0005-0000-0000-000089020000}"/>
    <cellStyle name="20% - Accent4 2 2 2 2 4" xfId="932" xr:uid="{00000000-0005-0000-0000-00008A020000}"/>
    <cellStyle name="20% - Accent4 2 2 2 2 4 2" xfId="933" xr:uid="{00000000-0005-0000-0000-00008B020000}"/>
    <cellStyle name="20% - Accent4 2 2 2 2 5" xfId="934" xr:uid="{00000000-0005-0000-0000-00008C020000}"/>
    <cellStyle name="20% - Accent4 2 2 2 2 5 2" xfId="935" xr:uid="{00000000-0005-0000-0000-00008D020000}"/>
    <cellStyle name="20% - Accent4 2 2 2 2 6" xfId="936" xr:uid="{00000000-0005-0000-0000-00008E020000}"/>
    <cellStyle name="20% - Accent4 2 2 2 3" xfId="937" xr:uid="{00000000-0005-0000-0000-00008F020000}"/>
    <cellStyle name="20% - Accent4 2 2 2 3 2" xfId="938" xr:uid="{00000000-0005-0000-0000-000090020000}"/>
    <cellStyle name="20% - Accent4 2 2 2 3 2 2" xfId="939" xr:uid="{00000000-0005-0000-0000-000091020000}"/>
    <cellStyle name="20% - Accent4 2 2 2 3 3" xfId="940" xr:uid="{00000000-0005-0000-0000-000092020000}"/>
    <cellStyle name="20% - Accent4 2 2 2 3 3 2" xfId="941" xr:uid="{00000000-0005-0000-0000-000093020000}"/>
    <cellStyle name="20% - Accent4 2 2 2 3 4" xfId="942" xr:uid="{00000000-0005-0000-0000-000094020000}"/>
    <cellStyle name="20% - Accent4 2 2 2 4" xfId="943" xr:uid="{00000000-0005-0000-0000-000095020000}"/>
    <cellStyle name="20% - Accent4 2 2 2 4 2" xfId="944" xr:uid="{00000000-0005-0000-0000-000096020000}"/>
    <cellStyle name="20% - Accent4 2 2 2 4 2 2" xfId="945" xr:uid="{00000000-0005-0000-0000-000097020000}"/>
    <cellStyle name="20% - Accent4 2 2 2 4 3" xfId="946" xr:uid="{00000000-0005-0000-0000-000098020000}"/>
    <cellStyle name="20% - Accent4 2 2 2 5" xfId="947" xr:uid="{00000000-0005-0000-0000-000099020000}"/>
    <cellStyle name="20% - Accent4 2 2 2 5 2" xfId="948" xr:uid="{00000000-0005-0000-0000-00009A020000}"/>
    <cellStyle name="20% - Accent4 2 2 2 6" xfId="949" xr:uid="{00000000-0005-0000-0000-00009B020000}"/>
    <cellStyle name="20% - Accent4 2 2 2 6 2" xfId="950" xr:uid="{00000000-0005-0000-0000-00009C020000}"/>
    <cellStyle name="20% - Accent4 2 2 2 7" xfId="951" xr:uid="{00000000-0005-0000-0000-00009D020000}"/>
    <cellStyle name="20% - Accent4 2 2 3" xfId="952" xr:uid="{00000000-0005-0000-0000-00009E020000}"/>
    <cellStyle name="20% - Accent4 2 2 3 2" xfId="953" xr:uid="{00000000-0005-0000-0000-00009F020000}"/>
    <cellStyle name="20% - Accent4 2 2 3 2 2" xfId="954" xr:uid="{00000000-0005-0000-0000-0000A0020000}"/>
    <cellStyle name="20% - Accent4 2 2 3 2 2 2" xfId="955" xr:uid="{00000000-0005-0000-0000-0000A1020000}"/>
    <cellStyle name="20% - Accent4 2 2 3 2 2 2 2" xfId="956" xr:uid="{00000000-0005-0000-0000-0000A2020000}"/>
    <cellStyle name="20% - Accent4 2 2 3 2 2 3" xfId="957" xr:uid="{00000000-0005-0000-0000-0000A3020000}"/>
    <cellStyle name="20% - Accent4 2 2 3 2 2 3 2" xfId="958" xr:uid="{00000000-0005-0000-0000-0000A4020000}"/>
    <cellStyle name="20% - Accent4 2 2 3 2 2 4" xfId="959" xr:uid="{00000000-0005-0000-0000-0000A5020000}"/>
    <cellStyle name="20% - Accent4 2 2 3 2 3" xfId="960" xr:uid="{00000000-0005-0000-0000-0000A6020000}"/>
    <cellStyle name="20% - Accent4 2 2 3 2 3 2" xfId="961" xr:uid="{00000000-0005-0000-0000-0000A7020000}"/>
    <cellStyle name="20% - Accent4 2 2 3 2 3 2 2" xfId="962" xr:uid="{00000000-0005-0000-0000-0000A8020000}"/>
    <cellStyle name="20% - Accent4 2 2 3 2 3 3" xfId="963" xr:uid="{00000000-0005-0000-0000-0000A9020000}"/>
    <cellStyle name="20% - Accent4 2 2 3 2 4" xfId="964" xr:uid="{00000000-0005-0000-0000-0000AA020000}"/>
    <cellStyle name="20% - Accent4 2 2 3 2 4 2" xfId="965" xr:uid="{00000000-0005-0000-0000-0000AB020000}"/>
    <cellStyle name="20% - Accent4 2 2 3 2 5" xfId="966" xr:uid="{00000000-0005-0000-0000-0000AC020000}"/>
    <cellStyle name="20% - Accent4 2 2 3 2 5 2" xfId="967" xr:uid="{00000000-0005-0000-0000-0000AD020000}"/>
    <cellStyle name="20% - Accent4 2 2 3 2 6" xfId="968" xr:uid="{00000000-0005-0000-0000-0000AE020000}"/>
    <cellStyle name="20% - Accent4 2 2 3 3" xfId="969" xr:uid="{00000000-0005-0000-0000-0000AF020000}"/>
    <cellStyle name="20% - Accent4 2 2 3 3 2" xfId="970" xr:uid="{00000000-0005-0000-0000-0000B0020000}"/>
    <cellStyle name="20% - Accent4 2 2 3 3 2 2" xfId="971" xr:uid="{00000000-0005-0000-0000-0000B1020000}"/>
    <cellStyle name="20% - Accent4 2 2 3 3 3" xfId="972" xr:uid="{00000000-0005-0000-0000-0000B2020000}"/>
    <cellStyle name="20% - Accent4 2 2 3 3 3 2" xfId="973" xr:uid="{00000000-0005-0000-0000-0000B3020000}"/>
    <cellStyle name="20% - Accent4 2 2 3 3 4" xfId="974" xr:uid="{00000000-0005-0000-0000-0000B4020000}"/>
    <cellStyle name="20% - Accent4 2 2 3 4" xfId="975" xr:uid="{00000000-0005-0000-0000-0000B5020000}"/>
    <cellStyle name="20% - Accent4 2 2 3 4 2" xfId="976" xr:uid="{00000000-0005-0000-0000-0000B6020000}"/>
    <cellStyle name="20% - Accent4 2 2 3 4 2 2" xfId="977" xr:uid="{00000000-0005-0000-0000-0000B7020000}"/>
    <cellStyle name="20% - Accent4 2 2 3 4 3" xfId="978" xr:uid="{00000000-0005-0000-0000-0000B8020000}"/>
    <cellStyle name="20% - Accent4 2 2 3 5" xfId="979" xr:uid="{00000000-0005-0000-0000-0000B9020000}"/>
    <cellStyle name="20% - Accent4 2 2 3 5 2" xfId="980" xr:uid="{00000000-0005-0000-0000-0000BA020000}"/>
    <cellStyle name="20% - Accent4 2 2 3 6" xfId="981" xr:uid="{00000000-0005-0000-0000-0000BB020000}"/>
    <cellStyle name="20% - Accent4 2 2 3 6 2" xfId="982" xr:uid="{00000000-0005-0000-0000-0000BC020000}"/>
    <cellStyle name="20% - Accent4 2 2 3 7" xfId="983" xr:uid="{00000000-0005-0000-0000-0000BD020000}"/>
    <cellStyle name="20% - Accent4 2 2 4" xfId="984" xr:uid="{00000000-0005-0000-0000-0000BE020000}"/>
    <cellStyle name="20% - Accent4 2 2 4 2" xfId="985" xr:uid="{00000000-0005-0000-0000-0000BF020000}"/>
    <cellStyle name="20% - Accent4 2 2 4 2 2" xfId="986" xr:uid="{00000000-0005-0000-0000-0000C0020000}"/>
    <cellStyle name="20% - Accent4 2 2 4 2 2 2" xfId="987" xr:uid="{00000000-0005-0000-0000-0000C1020000}"/>
    <cellStyle name="20% - Accent4 2 2 4 2 3" xfId="988" xr:uid="{00000000-0005-0000-0000-0000C2020000}"/>
    <cellStyle name="20% - Accent4 2 2 4 2 3 2" xfId="989" xr:uid="{00000000-0005-0000-0000-0000C3020000}"/>
    <cellStyle name="20% - Accent4 2 2 4 2 4" xfId="990" xr:uid="{00000000-0005-0000-0000-0000C4020000}"/>
    <cellStyle name="20% - Accent4 2 2 4 3" xfId="991" xr:uid="{00000000-0005-0000-0000-0000C5020000}"/>
    <cellStyle name="20% - Accent4 2 2 4 3 2" xfId="992" xr:uid="{00000000-0005-0000-0000-0000C6020000}"/>
    <cellStyle name="20% - Accent4 2 2 4 3 2 2" xfId="993" xr:uid="{00000000-0005-0000-0000-0000C7020000}"/>
    <cellStyle name="20% - Accent4 2 2 4 3 3" xfId="994" xr:uid="{00000000-0005-0000-0000-0000C8020000}"/>
    <cellStyle name="20% - Accent4 2 2 4 4" xfId="995" xr:uid="{00000000-0005-0000-0000-0000C9020000}"/>
    <cellStyle name="20% - Accent4 2 2 4 4 2" xfId="996" xr:uid="{00000000-0005-0000-0000-0000CA020000}"/>
    <cellStyle name="20% - Accent4 2 2 4 5" xfId="997" xr:uid="{00000000-0005-0000-0000-0000CB020000}"/>
    <cellStyle name="20% - Accent4 2 2 4 5 2" xfId="998" xr:uid="{00000000-0005-0000-0000-0000CC020000}"/>
    <cellStyle name="20% - Accent4 2 2 4 6" xfId="999" xr:uid="{00000000-0005-0000-0000-0000CD020000}"/>
    <cellStyle name="20% - Accent4 2 2 5" xfId="1000" xr:uid="{00000000-0005-0000-0000-0000CE020000}"/>
    <cellStyle name="20% - Accent4 2 2 5 2" xfId="1001" xr:uid="{00000000-0005-0000-0000-0000CF020000}"/>
    <cellStyle name="20% - Accent4 2 2 5 2 2" xfId="1002" xr:uid="{00000000-0005-0000-0000-0000D0020000}"/>
    <cellStyle name="20% - Accent4 2 2 5 3" xfId="1003" xr:uid="{00000000-0005-0000-0000-0000D1020000}"/>
    <cellStyle name="20% - Accent4 2 2 5 3 2" xfId="1004" xr:uid="{00000000-0005-0000-0000-0000D2020000}"/>
    <cellStyle name="20% - Accent4 2 2 5 4" xfId="1005" xr:uid="{00000000-0005-0000-0000-0000D3020000}"/>
    <cellStyle name="20% - Accent4 2 2 6" xfId="1006" xr:uid="{00000000-0005-0000-0000-0000D4020000}"/>
    <cellStyle name="20% - Accent4 2 2 6 2" xfId="1007" xr:uid="{00000000-0005-0000-0000-0000D5020000}"/>
    <cellStyle name="20% - Accent4 2 2 6 2 2" xfId="1008" xr:uid="{00000000-0005-0000-0000-0000D6020000}"/>
    <cellStyle name="20% - Accent4 2 2 6 3" xfId="1009" xr:uid="{00000000-0005-0000-0000-0000D7020000}"/>
    <cellStyle name="20% - Accent4 2 2 7" xfId="1010" xr:uid="{00000000-0005-0000-0000-0000D8020000}"/>
    <cellStyle name="20% - Accent4 2 2 7 2" xfId="1011" xr:uid="{00000000-0005-0000-0000-0000D9020000}"/>
    <cellStyle name="20% - Accent4 2 2 8" xfId="1012" xr:uid="{00000000-0005-0000-0000-0000DA020000}"/>
    <cellStyle name="20% - Accent4 2 2 8 2" xfId="1013" xr:uid="{00000000-0005-0000-0000-0000DB020000}"/>
    <cellStyle name="20% - Accent4 2 2 9" xfId="1014" xr:uid="{00000000-0005-0000-0000-0000DC020000}"/>
    <cellStyle name="20% - Accent4 2 3" xfId="1015" xr:uid="{00000000-0005-0000-0000-0000DD020000}"/>
    <cellStyle name="20% - Accent4 2 3 2" xfId="1016" xr:uid="{00000000-0005-0000-0000-0000DE020000}"/>
    <cellStyle name="20% - Accent4 2 3 2 2" xfId="1017" xr:uid="{00000000-0005-0000-0000-0000DF020000}"/>
    <cellStyle name="20% - Accent4 2 3 2 2 2" xfId="1018" xr:uid="{00000000-0005-0000-0000-0000E0020000}"/>
    <cellStyle name="20% - Accent4 2 3 2 2 2 2" xfId="1019" xr:uid="{00000000-0005-0000-0000-0000E1020000}"/>
    <cellStyle name="20% - Accent4 2 3 2 2 3" xfId="1020" xr:uid="{00000000-0005-0000-0000-0000E2020000}"/>
    <cellStyle name="20% - Accent4 2 3 2 2 3 2" xfId="1021" xr:uid="{00000000-0005-0000-0000-0000E3020000}"/>
    <cellStyle name="20% - Accent4 2 3 2 2 4" xfId="1022" xr:uid="{00000000-0005-0000-0000-0000E4020000}"/>
    <cellStyle name="20% - Accent4 2 3 2 3" xfId="1023" xr:uid="{00000000-0005-0000-0000-0000E5020000}"/>
    <cellStyle name="20% - Accent4 2 3 2 3 2" xfId="1024" xr:uid="{00000000-0005-0000-0000-0000E6020000}"/>
    <cellStyle name="20% - Accent4 2 3 2 3 2 2" xfId="1025" xr:uid="{00000000-0005-0000-0000-0000E7020000}"/>
    <cellStyle name="20% - Accent4 2 3 2 3 3" xfId="1026" xr:uid="{00000000-0005-0000-0000-0000E8020000}"/>
    <cellStyle name="20% - Accent4 2 3 2 4" xfId="1027" xr:uid="{00000000-0005-0000-0000-0000E9020000}"/>
    <cellStyle name="20% - Accent4 2 3 2 4 2" xfId="1028" xr:uid="{00000000-0005-0000-0000-0000EA020000}"/>
    <cellStyle name="20% - Accent4 2 3 2 5" xfId="1029" xr:uid="{00000000-0005-0000-0000-0000EB020000}"/>
    <cellStyle name="20% - Accent4 2 3 2 5 2" xfId="1030" xr:uid="{00000000-0005-0000-0000-0000EC020000}"/>
    <cellStyle name="20% - Accent4 2 3 2 6" xfId="1031" xr:uid="{00000000-0005-0000-0000-0000ED020000}"/>
    <cellStyle name="20% - Accent4 2 3 3" xfId="1032" xr:uid="{00000000-0005-0000-0000-0000EE020000}"/>
    <cellStyle name="20% - Accent4 2 3 3 2" xfId="1033" xr:uid="{00000000-0005-0000-0000-0000EF020000}"/>
    <cellStyle name="20% - Accent4 2 3 3 2 2" xfId="1034" xr:uid="{00000000-0005-0000-0000-0000F0020000}"/>
    <cellStyle name="20% - Accent4 2 3 3 3" xfId="1035" xr:uid="{00000000-0005-0000-0000-0000F1020000}"/>
    <cellStyle name="20% - Accent4 2 3 3 3 2" xfId="1036" xr:uid="{00000000-0005-0000-0000-0000F2020000}"/>
    <cellStyle name="20% - Accent4 2 3 3 4" xfId="1037" xr:uid="{00000000-0005-0000-0000-0000F3020000}"/>
    <cellStyle name="20% - Accent4 2 3 4" xfId="1038" xr:uid="{00000000-0005-0000-0000-0000F4020000}"/>
    <cellStyle name="20% - Accent4 2 3 4 2" xfId="1039" xr:uid="{00000000-0005-0000-0000-0000F5020000}"/>
    <cellStyle name="20% - Accent4 2 3 4 2 2" xfId="1040" xr:uid="{00000000-0005-0000-0000-0000F6020000}"/>
    <cellStyle name="20% - Accent4 2 3 4 3" xfId="1041" xr:uid="{00000000-0005-0000-0000-0000F7020000}"/>
    <cellStyle name="20% - Accent4 2 3 5" xfId="1042" xr:uid="{00000000-0005-0000-0000-0000F8020000}"/>
    <cellStyle name="20% - Accent4 2 3 5 2" xfId="1043" xr:uid="{00000000-0005-0000-0000-0000F9020000}"/>
    <cellStyle name="20% - Accent4 2 3 6" xfId="1044" xr:uid="{00000000-0005-0000-0000-0000FA020000}"/>
    <cellStyle name="20% - Accent4 2 3 6 2" xfId="1045" xr:uid="{00000000-0005-0000-0000-0000FB020000}"/>
    <cellStyle name="20% - Accent4 2 3 7" xfId="1046" xr:uid="{00000000-0005-0000-0000-0000FC020000}"/>
    <cellStyle name="20% - Accent4 2 4" xfId="1047" xr:uid="{00000000-0005-0000-0000-0000FD020000}"/>
    <cellStyle name="20% - Accent4 2 4 2" xfId="1048" xr:uid="{00000000-0005-0000-0000-0000FE020000}"/>
    <cellStyle name="20% - Accent4 2 4 2 2" xfId="1049" xr:uid="{00000000-0005-0000-0000-0000FF020000}"/>
    <cellStyle name="20% - Accent4 2 4 2 2 2" xfId="1050" xr:uid="{00000000-0005-0000-0000-000000030000}"/>
    <cellStyle name="20% - Accent4 2 4 2 2 2 2" xfId="1051" xr:uid="{00000000-0005-0000-0000-000001030000}"/>
    <cellStyle name="20% - Accent4 2 4 2 2 3" xfId="1052" xr:uid="{00000000-0005-0000-0000-000002030000}"/>
    <cellStyle name="20% - Accent4 2 4 2 2 3 2" xfId="1053" xr:uid="{00000000-0005-0000-0000-000003030000}"/>
    <cellStyle name="20% - Accent4 2 4 2 2 4" xfId="1054" xr:uid="{00000000-0005-0000-0000-000004030000}"/>
    <cellStyle name="20% - Accent4 2 4 2 3" xfId="1055" xr:uid="{00000000-0005-0000-0000-000005030000}"/>
    <cellStyle name="20% - Accent4 2 4 2 3 2" xfId="1056" xr:uid="{00000000-0005-0000-0000-000006030000}"/>
    <cellStyle name="20% - Accent4 2 4 2 3 2 2" xfId="1057" xr:uid="{00000000-0005-0000-0000-000007030000}"/>
    <cellStyle name="20% - Accent4 2 4 2 3 3" xfId="1058" xr:uid="{00000000-0005-0000-0000-000008030000}"/>
    <cellStyle name="20% - Accent4 2 4 2 4" xfId="1059" xr:uid="{00000000-0005-0000-0000-000009030000}"/>
    <cellStyle name="20% - Accent4 2 4 2 4 2" xfId="1060" xr:uid="{00000000-0005-0000-0000-00000A030000}"/>
    <cellStyle name="20% - Accent4 2 4 2 5" xfId="1061" xr:uid="{00000000-0005-0000-0000-00000B030000}"/>
    <cellStyle name="20% - Accent4 2 4 2 5 2" xfId="1062" xr:uid="{00000000-0005-0000-0000-00000C030000}"/>
    <cellStyle name="20% - Accent4 2 4 2 6" xfId="1063" xr:uid="{00000000-0005-0000-0000-00000D030000}"/>
    <cellStyle name="20% - Accent4 2 4 3" xfId="1064" xr:uid="{00000000-0005-0000-0000-00000E030000}"/>
    <cellStyle name="20% - Accent4 2 4 3 2" xfId="1065" xr:uid="{00000000-0005-0000-0000-00000F030000}"/>
    <cellStyle name="20% - Accent4 2 4 3 2 2" xfId="1066" xr:uid="{00000000-0005-0000-0000-000010030000}"/>
    <cellStyle name="20% - Accent4 2 4 3 3" xfId="1067" xr:uid="{00000000-0005-0000-0000-000011030000}"/>
    <cellStyle name="20% - Accent4 2 4 3 3 2" xfId="1068" xr:uid="{00000000-0005-0000-0000-000012030000}"/>
    <cellStyle name="20% - Accent4 2 4 3 4" xfId="1069" xr:uid="{00000000-0005-0000-0000-000013030000}"/>
    <cellStyle name="20% - Accent4 2 4 4" xfId="1070" xr:uid="{00000000-0005-0000-0000-000014030000}"/>
    <cellStyle name="20% - Accent4 2 4 4 2" xfId="1071" xr:uid="{00000000-0005-0000-0000-000015030000}"/>
    <cellStyle name="20% - Accent4 2 4 4 2 2" xfId="1072" xr:uid="{00000000-0005-0000-0000-000016030000}"/>
    <cellStyle name="20% - Accent4 2 4 4 3" xfId="1073" xr:uid="{00000000-0005-0000-0000-000017030000}"/>
    <cellStyle name="20% - Accent4 2 4 5" xfId="1074" xr:uid="{00000000-0005-0000-0000-000018030000}"/>
    <cellStyle name="20% - Accent4 2 4 5 2" xfId="1075" xr:uid="{00000000-0005-0000-0000-000019030000}"/>
    <cellStyle name="20% - Accent4 2 4 6" xfId="1076" xr:uid="{00000000-0005-0000-0000-00001A030000}"/>
    <cellStyle name="20% - Accent4 2 4 6 2" xfId="1077" xr:uid="{00000000-0005-0000-0000-00001B030000}"/>
    <cellStyle name="20% - Accent4 2 4 7" xfId="1078" xr:uid="{00000000-0005-0000-0000-00001C030000}"/>
    <cellStyle name="20% - Accent4 2 5" xfId="1079" xr:uid="{00000000-0005-0000-0000-00001D030000}"/>
    <cellStyle name="20% - Accent4 2 5 2" xfId="1080" xr:uid="{00000000-0005-0000-0000-00001E030000}"/>
    <cellStyle name="20% - Accent4 2 5 2 2" xfId="1081" xr:uid="{00000000-0005-0000-0000-00001F030000}"/>
    <cellStyle name="20% - Accent4 2 5 3" xfId="1082" xr:uid="{00000000-0005-0000-0000-000020030000}"/>
    <cellStyle name="20% - Accent4 3" xfId="1083" xr:uid="{00000000-0005-0000-0000-000021030000}"/>
    <cellStyle name="20% - Accent4 4" xfId="1084" xr:uid="{00000000-0005-0000-0000-000022030000}"/>
    <cellStyle name="20% - Accent5 2" xfId="8" xr:uid="{00000000-0005-0000-0000-000023030000}"/>
    <cellStyle name="20% - Accent5 2 2" xfId="1085" xr:uid="{00000000-0005-0000-0000-000024030000}"/>
    <cellStyle name="20% - Accent5 2 2 2" xfId="1086" xr:uid="{00000000-0005-0000-0000-000025030000}"/>
    <cellStyle name="20% - Accent5 2 2 2 2" xfId="1087" xr:uid="{00000000-0005-0000-0000-000026030000}"/>
    <cellStyle name="20% - Accent5 2 2 2 2 2" xfId="1088" xr:uid="{00000000-0005-0000-0000-000027030000}"/>
    <cellStyle name="20% - Accent5 2 2 2 2 2 2" xfId="1089" xr:uid="{00000000-0005-0000-0000-000028030000}"/>
    <cellStyle name="20% - Accent5 2 2 2 2 2 2 2" xfId="1090" xr:uid="{00000000-0005-0000-0000-000029030000}"/>
    <cellStyle name="20% - Accent5 2 2 2 2 2 3" xfId="1091" xr:uid="{00000000-0005-0000-0000-00002A030000}"/>
    <cellStyle name="20% - Accent5 2 2 2 2 2 3 2" xfId="1092" xr:uid="{00000000-0005-0000-0000-00002B030000}"/>
    <cellStyle name="20% - Accent5 2 2 2 2 2 4" xfId="1093" xr:uid="{00000000-0005-0000-0000-00002C030000}"/>
    <cellStyle name="20% - Accent5 2 2 2 2 3" xfId="1094" xr:uid="{00000000-0005-0000-0000-00002D030000}"/>
    <cellStyle name="20% - Accent5 2 2 2 2 3 2" xfId="1095" xr:uid="{00000000-0005-0000-0000-00002E030000}"/>
    <cellStyle name="20% - Accent5 2 2 2 2 3 2 2" xfId="1096" xr:uid="{00000000-0005-0000-0000-00002F030000}"/>
    <cellStyle name="20% - Accent5 2 2 2 2 3 3" xfId="1097" xr:uid="{00000000-0005-0000-0000-000030030000}"/>
    <cellStyle name="20% - Accent5 2 2 2 2 4" xfId="1098" xr:uid="{00000000-0005-0000-0000-000031030000}"/>
    <cellStyle name="20% - Accent5 2 2 2 2 4 2" xfId="1099" xr:uid="{00000000-0005-0000-0000-000032030000}"/>
    <cellStyle name="20% - Accent5 2 2 2 2 5" xfId="1100" xr:uid="{00000000-0005-0000-0000-000033030000}"/>
    <cellStyle name="20% - Accent5 2 2 2 2 5 2" xfId="1101" xr:uid="{00000000-0005-0000-0000-000034030000}"/>
    <cellStyle name="20% - Accent5 2 2 2 2 6" xfId="1102" xr:uid="{00000000-0005-0000-0000-000035030000}"/>
    <cellStyle name="20% - Accent5 2 2 2 3" xfId="1103" xr:uid="{00000000-0005-0000-0000-000036030000}"/>
    <cellStyle name="20% - Accent5 2 2 2 3 2" xfId="1104" xr:uid="{00000000-0005-0000-0000-000037030000}"/>
    <cellStyle name="20% - Accent5 2 2 2 3 2 2" xfId="1105" xr:uid="{00000000-0005-0000-0000-000038030000}"/>
    <cellStyle name="20% - Accent5 2 2 2 3 3" xfId="1106" xr:uid="{00000000-0005-0000-0000-000039030000}"/>
    <cellStyle name="20% - Accent5 2 2 2 3 3 2" xfId="1107" xr:uid="{00000000-0005-0000-0000-00003A030000}"/>
    <cellStyle name="20% - Accent5 2 2 2 3 4" xfId="1108" xr:uid="{00000000-0005-0000-0000-00003B030000}"/>
    <cellStyle name="20% - Accent5 2 2 2 4" xfId="1109" xr:uid="{00000000-0005-0000-0000-00003C030000}"/>
    <cellStyle name="20% - Accent5 2 2 2 4 2" xfId="1110" xr:uid="{00000000-0005-0000-0000-00003D030000}"/>
    <cellStyle name="20% - Accent5 2 2 2 4 2 2" xfId="1111" xr:uid="{00000000-0005-0000-0000-00003E030000}"/>
    <cellStyle name="20% - Accent5 2 2 2 4 3" xfId="1112" xr:uid="{00000000-0005-0000-0000-00003F030000}"/>
    <cellStyle name="20% - Accent5 2 2 2 5" xfId="1113" xr:uid="{00000000-0005-0000-0000-000040030000}"/>
    <cellStyle name="20% - Accent5 2 2 2 5 2" xfId="1114" xr:uid="{00000000-0005-0000-0000-000041030000}"/>
    <cellStyle name="20% - Accent5 2 2 2 6" xfId="1115" xr:uid="{00000000-0005-0000-0000-000042030000}"/>
    <cellStyle name="20% - Accent5 2 2 2 6 2" xfId="1116" xr:uid="{00000000-0005-0000-0000-000043030000}"/>
    <cellStyle name="20% - Accent5 2 2 2 7" xfId="1117" xr:uid="{00000000-0005-0000-0000-000044030000}"/>
    <cellStyle name="20% - Accent5 2 2 3" xfId="1118" xr:uid="{00000000-0005-0000-0000-000045030000}"/>
    <cellStyle name="20% - Accent5 2 2 3 2" xfId="1119" xr:uid="{00000000-0005-0000-0000-000046030000}"/>
    <cellStyle name="20% - Accent5 2 2 3 2 2" xfId="1120" xr:uid="{00000000-0005-0000-0000-000047030000}"/>
    <cellStyle name="20% - Accent5 2 2 3 2 2 2" xfId="1121" xr:uid="{00000000-0005-0000-0000-000048030000}"/>
    <cellStyle name="20% - Accent5 2 2 3 2 2 2 2" xfId="1122" xr:uid="{00000000-0005-0000-0000-000049030000}"/>
    <cellStyle name="20% - Accent5 2 2 3 2 2 3" xfId="1123" xr:uid="{00000000-0005-0000-0000-00004A030000}"/>
    <cellStyle name="20% - Accent5 2 2 3 2 2 3 2" xfId="1124" xr:uid="{00000000-0005-0000-0000-00004B030000}"/>
    <cellStyle name="20% - Accent5 2 2 3 2 2 4" xfId="1125" xr:uid="{00000000-0005-0000-0000-00004C030000}"/>
    <cellStyle name="20% - Accent5 2 2 3 2 3" xfId="1126" xr:uid="{00000000-0005-0000-0000-00004D030000}"/>
    <cellStyle name="20% - Accent5 2 2 3 2 3 2" xfId="1127" xr:uid="{00000000-0005-0000-0000-00004E030000}"/>
    <cellStyle name="20% - Accent5 2 2 3 2 3 2 2" xfId="1128" xr:uid="{00000000-0005-0000-0000-00004F030000}"/>
    <cellStyle name="20% - Accent5 2 2 3 2 3 3" xfId="1129" xr:uid="{00000000-0005-0000-0000-000050030000}"/>
    <cellStyle name="20% - Accent5 2 2 3 2 4" xfId="1130" xr:uid="{00000000-0005-0000-0000-000051030000}"/>
    <cellStyle name="20% - Accent5 2 2 3 2 4 2" xfId="1131" xr:uid="{00000000-0005-0000-0000-000052030000}"/>
    <cellStyle name="20% - Accent5 2 2 3 2 5" xfId="1132" xr:uid="{00000000-0005-0000-0000-000053030000}"/>
    <cellStyle name="20% - Accent5 2 2 3 2 5 2" xfId="1133" xr:uid="{00000000-0005-0000-0000-000054030000}"/>
    <cellStyle name="20% - Accent5 2 2 3 2 6" xfId="1134" xr:uid="{00000000-0005-0000-0000-000055030000}"/>
    <cellStyle name="20% - Accent5 2 2 3 3" xfId="1135" xr:uid="{00000000-0005-0000-0000-000056030000}"/>
    <cellStyle name="20% - Accent5 2 2 3 3 2" xfId="1136" xr:uid="{00000000-0005-0000-0000-000057030000}"/>
    <cellStyle name="20% - Accent5 2 2 3 3 2 2" xfId="1137" xr:uid="{00000000-0005-0000-0000-000058030000}"/>
    <cellStyle name="20% - Accent5 2 2 3 3 3" xfId="1138" xr:uid="{00000000-0005-0000-0000-000059030000}"/>
    <cellStyle name="20% - Accent5 2 2 3 3 3 2" xfId="1139" xr:uid="{00000000-0005-0000-0000-00005A030000}"/>
    <cellStyle name="20% - Accent5 2 2 3 3 4" xfId="1140" xr:uid="{00000000-0005-0000-0000-00005B030000}"/>
    <cellStyle name="20% - Accent5 2 2 3 4" xfId="1141" xr:uid="{00000000-0005-0000-0000-00005C030000}"/>
    <cellStyle name="20% - Accent5 2 2 3 4 2" xfId="1142" xr:uid="{00000000-0005-0000-0000-00005D030000}"/>
    <cellStyle name="20% - Accent5 2 2 3 4 2 2" xfId="1143" xr:uid="{00000000-0005-0000-0000-00005E030000}"/>
    <cellStyle name="20% - Accent5 2 2 3 4 3" xfId="1144" xr:uid="{00000000-0005-0000-0000-00005F030000}"/>
    <cellStyle name="20% - Accent5 2 2 3 5" xfId="1145" xr:uid="{00000000-0005-0000-0000-000060030000}"/>
    <cellStyle name="20% - Accent5 2 2 3 5 2" xfId="1146" xr:uid="{00000000-0005-0000-0000-000061030000}"/>
    <cellStyle name="20% - Accent5 2 2 3 6" xfId="1147" xr:uid="{00000000-0005-0000-0000-000062030000}"/>
    <cellStyle name="20% - Accent5 2 2 3 6 2" xfId="1148" xr:uid="{00000000-0005-0000-0000-000063030000}"/>
    <cellStyle name="20% - Accent5 2 2 3 7" xfId="1149" xr:uid="{00000000-0005-0000-0000-000064030000}"/>
    <cellStyle name="20% - Accent5 2 2 4" xfId="1150" xr:uid="{00000000-0005-0000-0000-000065030000}"/>
    <cellStyle name="20% - Accent5 2 2 4 2" xfId="1151" xr:uid="{00000000-0005-0000-0000-000066030000}"/>
    <cellStyle name="20% - Accent5 2 2 4 2 2" xfId="1152" xr:uid="{00000000-0005-0000-0000-000067030000}"/>
    <cellStyle name="20% - Accent5 2 2 4 2 2 2" xfId="1153" xr:uid="{00000000-0005-0000-0000-000068030000}"/>
    <cellStyle name="20% - Accent5 2 2 4 2 3" xfId="1154" xr:uid="{00000000-0005-0000-0000-000069030000}"/>
    <cellStyle name="20% - Accent5 2 2 4 2 3 2" xfId="1155" xr:uid="{00000000-0005-0000-0000-00006A030000}"/>
    <cellStyle name="20% - Accent5 2 2 4 2 4" xfId="1156" xr:uid="{00000000-0005-0000-0000-00006B030000}"/>
    <cellStyle name="20% - Accent5 2 2 4 3" xfId="1157" xr:uid="{00000000-0005-0000-0000-00006C030000}"/>
    <cellStyle name="20% - Accent5 2 2 4 3 2" xfId="1158" xr:uid="{00000000-0005-0000-0000-00006D030000}"/>
    <cellStyle name="20% - Accent5 2 2 4 3 2 2" xfId="1159" xr:uid="{00000000-0005-0000-0000-00006E030000}"/>
    <cellStyle name="20% - Accent5 2 2 4 3 3" xfId="1160" xr:uid="{00000000-0005-0000-0000-00006F030000}"/>
    <cellStyle name="20% - Accent5 2 2 4 4" xfId="1161" xr:uid="{00000000-0005-0000-0000-000070030000}"/>
    <cellStyle name="20% - Accent5 2 2 4 4 2" xfId="1162" xr:uid="{00000000-0005-0000-0000-000071030000}"/>
    <cellStyle name="20% - Accent5 2 2 4 5" xfId="1163" xr:uid="{00000000-0005-0000-0000-000072030000}"/>
    <cellStyle name="20% - Accent5 2 2 4 5 2" xfId="1164" xr:uid="{00000000-0005-0000-0000-000073030000}"/>
    <cellStyle name="20% - Accent5 2 2 4 6" xfId="1165" xr:uid="{00000000-0005-0000-0000-000074030000}"/>
    <cellStyle name="20% - Accent5 2 2 5" xfId="1166" xr:uid="{00000000-0005-0000-0000-000075030000}"/>
    <cellStyle name="20% - Accent5 2 2 5 2" xfId="1167" xr:uid="{00000000-0005-0000-0000-000076030000}"/>
    <cellStyle name="20% - Accent5 2 2 5 2 2" xfId="1168" xr:uid="{00000000-0005-0000-0000-000077030000}"/>
    <cellStyle name="20% - Accent5 2 2 5 3" xfId="1169" xr:uid="{00000000-0005-0000-0000-000078030000}"/>
    <cellStyle name="20% - Accent5 2 2 5 3 2" xfId="1170" xr:uid="{00000000-0005-0000-0000-000079030000}"/>
    <cellStyle name="20% - Accent5 2 2 5 4" xfId="1171" xr:uid="{00000000-0005-0000-0000-00007A030000}"/>
    <cellStyle name="20% - Accent5 2 2 6" xfId="1172" xr:uid="{00000000-0005-0000-0000-00007B030000}"/>
    <cellStyle name="20% - Accent5 2 2 6 2" xfId="1173" xr:uid="{00000000-0005-0000-0000-00007C030000}"/>
    <cellStyle name="20% - Accent5 2 2 6 2 2" xfId="1174" xr:uid="{00000000-0005-0000-0000-00007D030000}"/>
    <cellStyle name="20% - Accent5 2 2 6 3" xfId="1175" xr:uid="{00000000-0005-0000-0000-00007E030000}"/>
    <cellStyle name="20% - Accent5 2 2 7" xfId="1176" xr:uid="{00000000-0005-0000-0000-00007F030000}"/>
    <cellStyle name="20% - Accent5 2 2 7 2" xfId="1177" xr:uid="{00000000-0005-0000-0000-000080030000}"/>
    <cellStyle name="20% - Accent5 2 2 8" xfId="1178" xr:uid="{00000000-0005-0000-0000-000081030000}"/>
    <cellStyle name="20% - Accent5 2 2 8 2" xfId="1179" xr:uid="{00000000-0005-0000-0000-000082030000}"/>
    <cellStyle name="20% - Accent5 2 2 9" xfId="1180" xr:uid="{00000000-0005-0000-0000-000083030000}"/>
    <cellStyle name="20% - Accent5 2 3" xfId="1181" xr:uid="{00000000-0005-0000-0000-000084030000}"/>
    <cellStyle name="20% - Accent5 2 3 2" xfId="1182" xr:uid="{00000000-0005-0000-0000-000085030000}"/>
    <cellStyle name="20% - Accent5 2 3 2 2" xfId="1183" xr:uid="{00000000-0005-0000-0000-000086030000}"/>
    <cellStyle name="20% - Accent5 2 3 2 2 2" xfId="1184" xr:uid="{00000000-0005-0000-0000-000087030000}"/>
    <cellStyle name="20% - Accent5 2 3 2 2 2 2" xfId="1185" xr:uid="{00000000-0005-0000-0000-000088030000}"/>
    <cellStyle name="20% - Accent5 2 3 2 2 3" xfId="1186" xr:uid="{00000000-0005-0000-0000-000089030000}"/>
    <cellStyle name="20% - Accent5 2 3 2 2 3 2" xfId="1187" xr:uid="{00000000-0005-0000-0000-00008A030000}"/>
    <cellStyle name="20% - Accent5 2 3 2 2 4" xfId="1188" xr:uid="{00000000-0005-0000-0000-00008B030000}"/>
    <cellStyle name="20% - Accent5 2 3 2 3" xfId="1189" xr:uid="{00000000-0005-0000-0000-00008C030000}"/>
    <cellStyle name="20% - Accent5 2 3 2 3 2" xfId="1190" xr:uid="{00000000-0005-0000-0000-00008D030000}"/>
    <cellStyle name="20% - Accent5 2 3 2 3 2 2" xfId="1191" xr:uid="{00000000-0005-0000-0000-00008E030000}"/>
    <cellStyle name="20% - Accent5 2 3 2 3 3" xfId="1192" xr:uid="{00000000-0005-0000-0000-00008F030000}"/>
    <cellStyle name="20% - Accent5 2 3 2 4" xfId="1193" xr:uid="{00000000-0005-0000-0000-000090030000}"/>
    <cellStyle name="20% - Accent5 2 3 2 4 2" xfId="1194" xr:uid="{00000000-0005-0000-0000-000091030000}"/>
    <cellStyle name="20% - Accent5 2 3 2 5" xfId="1195" xr:uid="{00000000-0005-0000-0000-000092030000}"/>
    <cellStyle name="20% - Accent5 2 3 2 5 2" xfId="1196" xr:uid="{00000000-0005-0000-0000-000093030000}"/>
    <cellStyle name="20% - Accent5 2 3 2 6" xfId="1197" xr:uid="{00000000-0005-0000-0000-000094030000}"/>
    <cellStyle name="20% - Accent5 2 3 3" xfId="1198" xr:uid="{00000000-0005-0000-0000-000095030000}"/>
    <cellStyle name="20% - Accent5 2 3 3 2" xfId="1199" xr:uid="{00000000-0005-0000-0000-000096030000}"/>
    <cellStyle name="20% - Accent5 2 3 3 2 2" xfId="1200" xr:uid="{00000000-0005-0000-0000-000097030000}"/>
    <cellStyle name="20% - Accent5 2 3 3 3" xfId="1201" xr:uid="{00000000-0005-0000-0000-000098030000}"/>
    <cellStyle name="20% - Accent5 2 3 3 3 2" xfId="1202" xr:uid="{00000000-0005-0000-0000-000099030000}"/>
    <cellStyle name="20% - Accent5 2 3 3 4" xfId="1203" xr:uid="{00000000-0005-0000-0000-00009A030000}"/>
    <cellStyle name="20% - Accent5 2 3 4" xfId="1204" xr:uid="{00000000-0005-0000-0000-00009B030000}"/>
    <cellStyle name="20% - Accent5 2 3 4 2" xfId="1205" xr:uid="{00000000-0005-0000-0000-00009C030000}"/>
    <cellStyle name="20% - Accent5 2 3 4 2 2" xfId="1206" xr:uid="{00000000-0005-0000-0000-00009D030000}"/>
    <cellStyle name="20% - Accent5 2 3 4 3" xfId="1207" xr:uid="{00000000-0005-0000-0000-00009E030000}"/>
    <cellStyle name="20% - Accent5 2 3 5" xfId="1208" xr:uid="{00000000-0005-0000-0000-00009F030000}"/>
    <cellStyle name="20% - Accent5 2 3 5 2" xfId="1209" xr:uid="{00000000-0005-0000-0000-0000A0030000}"/>
    <cellStyle name="20% - Accent5 2 3 6" xfId="1210" xr:uid="{00000000-0005-0000-0000-0000A1030000}"/>
    <cellStyle name="20% - Accent5 2 3 6 2" xfId="1211" xr:uid="{00000000-0005-0000-0000-0000A2030000}"/>
    <cellStyle name="20% - Accent5 2 3 7" xfId="1212" xr:uid="{00000000-0005-0000-0000-0000A3030000}"/>
    <cellStyle name="20% - Accent5 2 4" xfId="1213" xr:uid="{00000000-0005-0000-0000-0000A4030000}"/>
    <cellStyle name="20% - Accent5 2 4 2" xfId="1214" xr:uid="{00000000-0005-0000-0000-0000A5030000}"/>
    <cellStyle name="20% - Accent5 2 4 2 2" xfId="1215" xr:uid="{00000000-0005-0000-0000-0000A6030000}"/>
    <cellStyle name="20% - Accent5 2 4 2 2 2" xfId="1216" xr:uid="{00000000-0005-0000-0000-0000A7030000}"/>
    <cellStyle name="20% - Accent5 2 4 2 2 2 2" xfId="1217" xr:uid="{00000000-0005-0000-0000-0000A8030000}"/>
    <cellStyle name="20% - Accent5 2 4 2 2 3" xfId="1218" xr:uid="{00000000-0005-0000-0000-0000A9030000}"/>
    <cellStyle name="20% - Accent5 2 4 2 2 3 2" xfId="1219" xr:uid="{00000000-0005-0000-0000-0000AA030000}"/>
    <cellStyle name="20% - Accent5 2 4 2 2 4" xfId="1220" xr:uid="{00000000-0005-0000-0000-0000AB030000}"/>
    <cellStyle name="20% - Accent5 2 4 2 3" xfId="1221" xr:uid="{00000000-0005-0000-0000-0000AC030000}"/>
    <cellStyle name="20% - Accent5 2 4 2 3 2" xfId="1222" xr:uid="{00000000-0005-0000-0000-0000AD030000}"/>
    <cellStyle name="20% - Accent5 2 4 2 3 2 2" xfId="1223" xr:uid="{00000000-0005-0000-0000-0000AE030000}"/>
    <cellStyle name="20% - Accent5 2 4 2 3 3" xfId="1224" xr:uid="{00000000-0005-0000-0000-0000AF030000}"/>
    <cellStyle name="20% - Accent5 2 4 2 4" xfId="1225" xr:uid="{00000000-0005-0000-0000-0000B0030000}"/>
    <cellStyle name="20% - Accent5 2 4 2 4 2" xfId="1226" xr:uid="{00000000-0005-0000-0000-0000B1030000}"/>
    <cellStyle name="20% - Accent5 2 4 2 5" xfId="1227" xr:uid="{00000000-0005-0000-0000-0000B2030000}"/>
    <cellStyle name="20% - Accent5 2 4 2 5 2" xfId="1228" xr:uid="{00000000-0005-0000-0000-0000B3030000}"/>
    <cellStyle name="20% - Accent5 2 4 2 6" xfId="1229" xr:uid="{00000000-0005-0000-0000-0000B4030000}"/>
    <cellStyle name="20% - Accent5 2 4 3" xfId="1230" xr:uid="{00000000-0005-0000-0000-0000B5030000}"/>
    <cellStyle name="20% - Accent5 2 4 3 2" xfId="1231" xr:uid="{00000000-0005-0000-0000-0000B6030000}"/>
    <cellStyle name="20% - Accent5 2 4 3 2 2" xfId="1232" xr:uid="{00000000-0005-0000-0000-0000B7030000}"/>
    <cellStyle name="20% - Accent5 2 4 3 3" xfId="1233" xr:uid="{00000000-0005-0000-0000-0000B8030000}"/>
    <cellStyle name="20% - Accent5 2 4 3 3 2" xfId="1234" xr:uid="{00000000-0005-0000-0000-0000B9030000}"/>
    <cellStyle name="20% - Accent5 2 4 3 4" xfId="1235" xr:uid="{00000000-0005-0000-0000-0000BA030000}"/>
    <cellStyle name="20% - Accent5 2 4 4" xfId="1236" xr:uid="{00000000-0005-0000-0000-0000BB030000}"/>
    <cellStyle name="20% - Accent5 2 4 4 2" xfId="1237" xr:uid="{00000000-0005-0000-0000-0000BC030000}"/>
    <cellStyle name="20% - Accent5 2 4 4 2 2" xfId="1238" xr:uid="{00000000-0005-0000-0000-0000BD030000}"/>
    <cellStyle name="20% - Accent5 2 4 4 3" xfId="1239" xr:uid="{00000000-0005-0000-0000-0000BE030000}"/>
    <cellStyle name="20% - Accent5 2 4 5" xfId="1240" xr:uid="{00000000-0005-0000-0000-0000BF030000}"/>
    <cellStyle name="20% - Accent5 2 4 5 2" xfId="1241" xr:uid="{00000000-0005-0000-0000-0000C0030000}"/>
    <cellStyle name="20% - Accent5 2 4 6" xfId="1242" xr:uid="{00000000-0005-0000-0000-0000C1030000}"/>
    <cellStyle name="20% - Accent5 2 4 6 2" xfId="1243" xr:uid="{00000000-0005-0000-0000-0000C2030000}"/>
    <cellStyle name="20% - Accent5 2 4 7" xfId="1244" xr:uid="{00000000-0005-0000-0000-0000C3030000}"/>
    <cellStyle name="20% - Accent5 2 5" xfId="1245" xr:uid="{00000000-0005-0000-0000-0000C4030000}"/>
    <cellStyle name="20% - Accent5 2 5 2" xfId="1246" xr:uid="{00000000-0005-0000-0000-0000C5030000}"/>
    <cellStyle name="20% - Accent5 2 5 2 2" xfId="1247" xr:uid="{00000000-0005-0000-0000-0000C6030000}"/>
    <cellStyle name="20% - Accent5 2 5 3" xfId="1248" xr:uid="{00000000-0005-0000-0000-0000C7030000}"/>
    <cellStyle name="20% - Accent5 3" xfId="1249" xr:uid="{00000000-0005-0000-0000-0000C8030000}"/>
    <cellStyle name="20% - Accent5 4" xfId="1250" xr:uid="{00000000-0005-0000-0000-0000C9030000}"/>
    <cellStyle name="20% - Accent6 2" xfId="9" xr:uid="{00000000-0005-0000-0000-0000CA030000}"/>
    <cellStyle name="20% - Accent6 2 2" xfId="1251" xr:uid="{00000000-0005-0000-0000-0000CB030000}"/>
    <cellStyle name="20% - Accent6 2 2 2" xfId="1252" xr:uid="{00000000-0005-0000-0000-0000CC030000}"/>
    <cellStyle name="20% - Accent6 2 2 2 2" xfId="1253" xr:uid="{00000000-0005-0000-0000-0000CD030000}"/>
    <cellStyle name="20% - Accent6 2 2 2 2 2" xfId="1254" xr:uid="{00000000-0005-0000-0000-0000CE030000}"/>
    <cellStyle name="20% - Accent6 2 2 2 2 2 2" xfId="1255" xr:uid="{00000000-0005-0000-0000-0000CF030000}"/>
    <cellStyle name="20% - Accent6 2 2 2 2 2 2 2" xfId="1256" xr:uid="{00000000-0005-0000-0000-0000D0030000}"/>
    <cellStyle name="20% - Accent6 2 2 2 2 2 3" xfId="1257" xr:uid="{00000000-0005-0000-0000-0000D1030000}"/>
    <cellStyle name="20% - Accent6 2 2 2 2 2 3 2" xfId="1258" xr:uid="{00000000-0005-0000-0000-0000D2030000}"/>
    <cellStyle name="20% - Accent6 2 2 2 2 2 4" xfId="1259" xr:uid="{00000000-0005-0000-0000-0000D3030000}"/>
    <cellStyle name="20% - Accent6 2 2 2 2 3" xfId="1260" xr:uid="{00000000-0005-0000-0000-0000D4030000}"/>
    <cellStyle name="20% - Accent6 2 2 2 2 3 2" xfId="1261" xr:uid="{00000000-0005-0000-0000-0000D5030000}"/>
    <cellStyle name="20% - Accent6 2 2 2 2 3 2 2" xfId="1262" xr:uid="{00000000-0005-0000-0000-0000D6030000}"/>
    <cellStyle name="20% - Accent6 2 2 2 2 3 3" xfId="1263" xr:uid="{00000000-0005-0000-0000-0000D7030000}"/>
    <cellStyle name="20% - Accent6 2 2 2 2 4" xfId="1264" xr:uid="{00000000-0005-0000-0000-0000D8030000}"/>
    <cellStyle name="20% - Accent6 2 2 2 2 4 2" xfId="1265" xr:uid="{00000000-0005-0000-0000-0000D9030000}"/>
    <cellStyle name="20% - Accent6 2 2 2 2 5" xfId="1266" xr:uid="{00000000-0005-0000-0000-0000DA030000}"/>
    <cellStyle name="20% - Accent6 2 2 2 2 5 2" xfId="1267" xr:uid="{00000000-0005-0000-0000-0000DB030000}"/>
    <cellStyle name="20% - Accent6 2 2 2 2 6" xfId="1268" xr:uid="{00000000-0005-0000-0000-0000DC030000}"/>
    <cellStyle name="20% - Accent6 2 2 2 3" xfId="1269" xr:uid="{00000000-0005-0000-0000-0000DD030000}"/>
    <cellStyle name="20% - Accent6 2 2 2 3 2" xfId="1270" xr:uid="{00000000-0005-0000-0000-0000DE030000}"/>
    <cellStyle name="20% - Accent6 2 2 2 3 2 2" xfId="1271" xr:uid="{00000000-0005-0000-0000-0000DF030000}"/>
    <cellStyle name="20% - Accent6 2 2 2 3 3" xfId="1272" xr:uid="{00000000-0005-0000-0000-0000E0030000}"/>
    <cellStyle name="20% - Accent6 2 2 2 3 3 2" xfId="1273" xr:uid="{00000000-0005-0000-0000-0000E1030000}"/>
    <cellStyle name="20% - Accent6 2 2 2 3 4" xfId="1274" xr:uid="{00000000-0005-0000-0000-0000E2030000}"/>
    <cellStyle name="20% - Accent6 2 2 2 4" xfId="1275" xr:uid="{00000000-0005-0000-0000-0000E3030000}"/>
    <cellStyle name="20% - Accent6 2 2 2 4 2" xfId="1276" xr:uid="{00000000-0005-0000-0000-0000E4030000}"/>
    <cellStyle name="20% - Accent6 2 2 2 4 2 2" xfId="1277" xr:uid="{00000000-0005-0000-0000-0000E5030000}"/>
    <cellStyle name="20% - Accent6 2 2 2 4 3" xfId="1278" xr:uid="{00000000-0005-0000-0000-0000E6030000}"/>
    <cellStyle name="20% - Accent6 2 2 2 5" xfId="1279" xr:uid="{00000000-0005-0000-0000-0000E7030000}"/>
    <cellStyle name="20% - Accent6 2 2 2 5 2" xfId="1280" xr:uid="{00000000-0005-0000-0000-0000E8030000}"/>
    <cellStyle name="20% - Accent6 2 2 2 6" xfId="1281" xr:uid="{00000000-0005-0000-0000-0000E9030000}"/>
    <cellStyle name="20% - Accent6 2 2 2 6 2" xfId="1282" xr:uid="{00000000-0005-0000-0000-0000EA030000}"/>
    <cellStyle name="20% - Accent6 2 2 2 7" xfId="1283" xr:uid="{00000000-0005-0000-0000-0000EB030000}"/>
    <cellStyle name="20% - Accent6 2 2 3" xfId="1284" xr:uid="{00000000-0005-0000-0000-0000EC030000}"/>
    <cellStyle name="20% - Accent6 2 2 3 2" xfId="1285" xr:uid="{00000000-0005-0000-0000-0000ED030000}"/>
    <cellStyle name="20% - Accent6 2 2 3 2 2" xfId="1286" xr:uid="{00000000-0005-0000-0000-0000EE030000}"/>
    <cellStyle name="20% - Accent6 2 2 3 2 2 2" xfId="1287" xr:uid="{00000000-0005-0000-0000-0000EF030000}"/>
    <cellStyle name="20% - Accent6 2 2 3 2 2 2 2" xfId="1288" xr:uid="{00000000-0005-0000-0000-0000F0030000}"/>
    <cellStyle name="20% - Accent6 2 2 3 2 2 3" xfId="1289" xr:uid="{00000000-0005-0000-0000-0000F1030000}"/>
    <cellStyle name="20% - Accent6 2 2 3 2 2 3 2" xfId="1290" xr:uid="{00000000-0005-0000-0000-0000F2030000}"/>
    <cellStyle name="20% - Accent6 2 2 3 2 2 4" xfId="1291" xr:uid="{00000000-0005-0000-0000-0000F3030000}"/>
    <cellStyle name="20% - Accent6 2 2 3 2 3" xfId="1292" xr:uid="{00000000-0005-0000-0000-0000F4030000}"/>
    <cellStyle name="20% - Accent6 2 2 3 2 3 2" xfId="1293" xr:uid="{00000000-0005-0000-0000-0000F5030000}"/>
    <cellStyle name="20% - Accent6 2 2 3 2 3 2 2" xfId="1294" xr:uid="{00000000-0005-0000-0000-0000F6030000}"/>
    <cellStyle name="20% - Accent6 2 2 3 2 3 3" xfId="1295" xr:uid="{00000000-0005-0000-0000-0000F7030000}"/>
    <cellStyle name="20% - Accent6 2 2 3 2 4" xfId="1296" xr:uid="{00000000-0005-0000-0000-0000F8030000}"/>
    <cellStyle name="20% - Accent6 2 2 3 2 4 2" xfId="1297" xr:uid="{00000000-0005-0000-0000-0000F9030000}"/>
    <cellStyle name="20% - Accent6 2 2 3 2 5" xfId="1298" xr:uid="{00000000-0005-0000-0000-0000FA030000}"/>
    <cellStyle name="20% - Accent6 2 2 3 2 5 2" xfId="1299" xr:uid="{00000000-0005-0000-0000-0000FB030000}"/>
    <cellStyle name="20% - Accent6 2 2 3 2 6" xfId="1300" xr:uid="{00000000-0005-0000-0000-0000FC030000}"/>
    <cellStyle name="20% - Accent6 2 2 3 3" xfId="1301" xr:uid="{00000000-0005-0000-0000-0000FD030000}"/>
    <cellStyle name="20% - Accent6 2 2 3 3 2" xfId="1302" xr:uid="{00000000-0005-0000-0000-0000FE030000}"/>
    <cellStyle name="20% - Accent6 2 2 3 3 2 2" xfId="1303" xr:uid="{00000000-0005-0000-0000-0000FF030000}"/>
    <cellStyle name="20% - Accent6 2 2 3 3 3" xfId="1304" xr:uid="{00000000-0005-0000-0000-000000040000}"/>
    <cellStyle name="20% - Accent6 2 2 3 3 3 2" xfId="1305" xr:uid="{00000000-0005-0000-0000-000001040000}"/>
    <cellStyle name="20% - Accent6 2 2 3 3 4" xfId="1306" xr:uid="{00000000-0005-0000-0000-000002040000}"/>
    <cellStyle name="20% - Accent6 2 2 3 4" xfId="1307" xr:uid="{00000000-0005-0000-0000-000003040000}"/>
    <cellStyle name="20% - Accent6 2 2 3 4 2" xfId="1308" xr:uid="{00000000-0005-0000-0000-000004040000}"/>
    <cellStyle name="20% - Accent6 2 2 3 4 2 2" xfId="1309" xr:uid="{00000000-0005-0000-0000-000005040000}"/>
    <cellStyle name="20% - Accent6 2 2 3 4 3" xfId="1310" xr:uid="{00000000-0005-0000-0000-000006040000}"/>
    <cellStyle name="20% - Accent6 2 2 3 5" xfId="1311" xr:uid="{00000000-0005-0000-0000-000007040000}"/>
    <cellStyle name="20% - Accent6 2 2 3 5 2" xfId="1312" xr:uid="{00000000-0005-0000-0000-000008040000}"/>
    <cellStyle name="20% - Accent6 2 2 3 6" xfId="1313" xr:uid="{00000000-0005-0000-0000-000009040000}"/>
    <cellStyle name="20% - Accent6 2 2 3 6 2" xfId="1314" xr:uid="{00000000-0005-0000-0000-00000A040000}"/>
    <cellStyle name="20% - Accent6 2 2 3 7" xfId="1315" xr:uid="{00000000-0005-0000-0000-00000B040000}"/>
    <cellStyle name="20% - Accent6 2 2 4" xfId="1316" xr:uid="{00000000-0005-0000-0000-00000C040000}"/>
    <cellStyle name="20% - Accent6 2 2 4 2" xfId="1317" xr:uid="{00000000-0005-0000-0000-00000D040000}"/>
    <cellStyle name="20% - Accent6 2 2 4 2 2" xfId="1318" xr:uid="{00000000-0005-0000-0000-00000E040000}"/>
    <cellStyle name="20% - Accent6 2 2 4 2 2 2" xfId="1319" xr:uid="{00000000-0005-0000-0000-00000F040000}"/>
    <cellStyle name="20% - Accent6 2 2 4 2 3" xfId="1320" xr:uid="{00000000-0005-0000-0000-000010040000}"/>
    <cellStyle name="20% - Accent6 2 2 4 2 3 2" xfId="1321" xr:uid="{00000000-0005-0000-0000-000011040000}"/>
    <cellStyle name="20% - Accent6 2 2 4 2 4" xfId="1322" xr:uid="{00000000-0005-0000-0000-000012040000}"/>
    <cellStyle name="20% - Accent6 2 2 4 3" xfId="1323" xr:uid="{00000000-0005-0000-0000-000013040000}"/>
    <cellStyle name="20% - Accent6 2 2 4 3 2" xfId="1324" xr:uid="{00000000-0005-0000-0000-000014040000}"/>
    <cellStyle name="20% - Accent6 2 2 4 3 2 2" xfId="1325" xr:uid="{00000000-0005-0000-0000-000015040000}"/>
    <cellStyle name="20% - Accent6 2 2 4 3 3" xfId="1326" xr:uid="{00000000-0005-0000-0000-000016040000}"/>
    <cellStyle name="20% - Accent6 2 2 4 4" xfId="1327" xr:uid="{00000000-0005-0000-0000-000017040000}"/>
    <cellStyle name="20% - Accent6 2 2 4 4 2" xfId="1328" xr:uid="{00000000-0005-0000-0000-000018040000}"/>
    <cellStyle name="20% - Accent6 2 2 4 5" xfId="1329" xr:uid="{00000000-0005-0000-0000-000019040000}"/>
    <cellStyle name="20% - Accent6 2 2 4 5 2" xfId="1330" xr:uid="{00000000-0005-0000-0000-00001A040000}"/>
    <cellStyle name="20% - Accent6 2 2 4 6" xfId="1331" xr:uid="{00000000-0005-0000-0000-00001B040000}"/>
    <cellStyle name="20% - Accent6 2 2 5" xfId="1332" xr:uid="{00000000-0005-0000-0000-00001C040000}"/>
    <cellStyle name="20% - Accent6 2 2 5 2" xfId="1333" xr:uid="{00000000-0005-0000-0000-00001D040000}"/>
    <cellStyle name="20% - Accent6 2 2 5 2 2" xfId="1334" xr:uid="{00000000-0005-0000-0000-00001E040000}"/>
    <cellStyle name="20% - Accent6 2 2 5 3" xfId="1335" xr:uid="{00000000-0005-0000-0000-00001F040000}"/>
    <cellStyle name="20% - Accent6 2 2 5 3 2" xfId="1336" xr:uid="{00000000-0005-0000-0000-000020040000}"/>
    <cellStyle name="20% - Accent6 2 2 5 4" xfId="1337" xr:uid="{00000000-0005-0000-0000-000021040000}"/>
    <cellStyle name="20% - Accent6 2 2 6" xfId="1338" xr:uid="{00000000-0005-0000-0000-000022040000}"/>
    <cellStyle name="20% - Accent6 2 2 6 2" xfId="1339" xr:uid="{00000000-0005-0000-0000-000023040000}"/>
    <cellStyle name="20% - Accent6 2 2 6 2 2" xfId="1340" xr:uid="{00000000-0005-0000-0000-000024040000}"/>
    <cellStyle name="20% - Accent6 2 2 6 3" xfId="1341" xr:uid="{00000000-0005-0000-0000-000025040000}"/>
    <cellStyle name="20% - Accent6 2 2 7" xfId="1342" xr:uid="{00000000-0005-0000-0000-000026040000}"/>
    <cellStyle name="20% - Accent6 2 2 7 2" xfId="1343" xr:uid="{00000000-0005-0000-0000-000027040000}"/>
    <cellStyle name="20% - Accent6 2 2 8" xfId="1344" xr:uid="{00000000-0005-0000-0000-000028040000}"/>
    <cellStyle name="20% - Accent6 2 2 8 2" xfId="1345" xr:uid="{00000000-0005-0000-0000-000029040000}"/>
    <cellStyle name="20% - Accent6 2 2 9" xfId="1346" xr:uid="{00000000-0005-0000-0000-00002A040000}"/>
    <cellStyle name="20% - Accent6 2 3" xfId="1347" xr:uid="{00000000-0005-0000-0000-00002B040000}"/>
    <cellStyle name="20% - Accent6 2 3 2" xfId="1348" xr:uid="{00000000-0005-0000-0000-00002C040000}"/>
    <cellStyle name="20% - Accent6 2 3 2 2" xfId="1349" xr:uid="{00000000-0005-0000-0000-00002D040000}"/>
    <cellStyle name="20% - Accent6 2 3 2 2 2" xfId="1350" xr:uid="{00000000-0005-0000-0000-00002E040000}"/>
    <cellStyle name="20% - Accent6 2 3 2 2 2 2" xfId="1351" xr:uid="{00000000-0005-0000-0000-00002F040000}"/>
    <cellStyle name="20% - Accent6 2 3 2 2 3" xfId="1352" xr:uid="{00000000-0005-0000-0000-000030040000}"/>
    <cellStyle name="20% - Accent6 2 3 2 2 3 2" xfId="1353" xr:uid="{00000000-0005-0000-0000-000031040000}"/>
    <cellStyle name="20% - Accent6 2 3 2 2 4" xfId="1354" xr:uid="{00000000-0005-0000-0000-000032040000}"/>
    <cellStyle name="20% - Accent6 2 3 2 3" xfId="1355" xr:uid="{00000000-0005-0000-0000-000033040000}"/>
    <cellStyle name="20% - Accent6 2 3 2 3 2" xfId="1356" xr:uid="{00000000-0005-0000-0000-000034040000}"/>
    <cellStyle name="20% - Accent6 2 3 2 3 2 2" xfId="1357" xr:uid="{00000000-0005-0000-0000-000035040000}"/>
    <cellStyle name="20% - Accent6 2 3 2 3 3" xfId="1358" xr:uid="{00000000-0005-0000-0000-000036040000}"/>
    <cellStyle name="20% - Accent6 2 3 2 4" xfId="1359" xr:uid="{00000000-0005-0000-0000-000037040000}"/>
    <cellStyle name="20% - Accent6 2 3 2 4 2" xfId="1360" xr:uid="{00000000-0005-0000-0000-000038040000}"/>
    <cellStyle name="20% - Accent6 2 3 2 5" xfId="1361" xr:uid="{00000000-0005-0000-0000-000039040000}"/>
    <cellStyle name="20% - Accent6 2 3 2 5 2" xfId="1362" xr:uid="{00000000-0005-0000-0000-00003A040000}"/>
    <cellStyle name="20% - Accent6 2 3 2 6" xfId="1363" xr:uid="{00000000-0005-0000-0000-00003B040000}"/>
    <cellStyle name="20% - Accent6 2 3 3" xfId="1364" xr:uid="{00000000-0005-0000-0000-00003C040000}"/>
    <cellStyle name="20% - Accent6 2 3 3 2" xfId="1365" xr:uid="{00000000-0005-0000-0000-00003D040000}"/>
    <cellStyle name="20% - Accent6 2 3 3 2 2" xfId="1366" xr:uid="{00000000-0005-0000-0000-00003E040000}"/>
    <cellStyle name="20% - Accent6 2 3 3 3" xfId="1367" xr:uid="{00000000-0005-0000-0000-00003F040000}"/>
    <cellStyle name="20% - Accent6 2 3 3 3 2" xfId="1368" xr:uid="{00000000-0005-0000-0000-000040040000}"/>
    <cellStyle name="20% - Accent6 2 3 3 4" xfId="1369" xr:uid="{00000000-0005-0000-0000-000041040000}"/>
    <cellStyle name="20% - Accent6 2 3 4" xfId="1370" xr:uid="{00000000-0005-0000-0000-000042040000}"/>
    <cellStyle name="20% - Accent6 2 3 4 2" xfId="1371" xr:uid="{00000000-0005-0000-0000-000043040000}"/>
    <cellStyle name="20% - Accent6 2 3 4 2 2" xfId="1372" xr:uid="{00000000-0005-0000-0000-000044040000}"/>
    <cellStyle name="20% - Accent6 2 3 4 3" xfId="1373" xr:uid="{00000000-0005-0000-0000-000045040000}"/>
    <cellStyle name="20% - Accent6 2 3 5" xfId="1374" xr:uid="{00000000-0005-0000-0000-000046040000}"/>
    <cellStyle name="20% - Accent6 2 3 5 2" xfId="1375" xr:uid="{00000000-0005-0000-0000-000047040000}"/>
    <cellStyle name="20% - Accent6 2 3 6" xfId="1376" xr:uid="{00000000-0005-0000-0000-000048040000}"/>
    <cellStyle name="20% - Accent6 2 3 6 2" xfId="1377" xr:uid="{00000000-0005-0000-0000-000049040000}"/>
    <cellStyle name="20% - Accent6 2 3 7" xfId="1378" xr:uid="{00000000-0005-0000-0000-00004A040000}"/>
    <cellStyle name="20% - Accent6 2 4" xfId="1379" xr:uid="{00000000-0005-0000-0000-00004B040000}"/>
    <cellStyle name="20% - Accent6 2 4 2" xfId="1380" xr:uid="{00000000-0005-0000-0000-00004C040000}"/>
    <cellStyle name="20% - Accent6 2 4 2 2" xfId="1381" xr:uid="{00000000-0005-0000-0000-00004D040000}"/>
    <cellStyle name="20% - Accent6 2 4 2 2 2" xfId="1382" xr:uid="{00000000-0005-0000-0000-00004E040000}"/>
    <cellStyle name="20% - Accent6 2 4 2 2 2 2" xfId="1383" xr:uid="{00000000-0005-0000-0000-00004F040000}"/>
    <cellStyle name="20% - Accent6 2 4 2 2 3" xfId="1384" xr:uid="{00000000-0005-0000-0000-000050040000}"/>
    <cellStyle name="20% - Accent6 2 4 2 2 3 2" xfId="1385" xr:uid="{00000000-0005-0000-0000-000051040000}"/>
    <cellStyle name="20% - Accent6 2 4 2 2 4" xfId="1386" xr:uid="{00000000-0005-0000-0000-000052040000}"/>
    <cellStyle name="20% - Accent6 2 4 2 3" xfId="1387" xr:uid="{00000000-0005-0000-0000-000053040000}"/>
    <cellStyle name="20% - Accent6 2 4 2 3 2" xfId="1388" xr:uid="{00000000-0005-0000-0000-000054040000}"/>
    <cellStyle name="20% - Accent6 2 4 2 3 2 2" xfId="1389" xr:uid="{00000000-0005-0000-0000-000055040000}"/>
    <cellStyle name="20% - Accent6 2 4 2 3 3" xfId="1390" xr:uid="{00000000-0005-0000-0000-000056040000}"/>
    <cellStyle name="20% - Accent6 2 4 2 4" xfId="1391" xr:uid="{00000000-0005-0000-0000-000057040000}"/>
    <cellStyle name="20% - Accent6 2 4 2 4 2" xfId="1392" xr:uid="{00000000-0005-0000-0000-000058040000}"/>
    <cellStyle name="20% - Accent6 2 4 2 5" xfId="1393" xr:uid="{00000000-0005-0000-0000-000059040000}"/>
    <cellStyle name="20% - Accent6 2 4 2 5 2" xfId="1394" xr:uid="{00000000-0005-0000-0000-00005A040000}"/>
    <cellStyle name="20% - Accent6 2 4 2 6" xfId="1395" xr:uid="{00000000-0005-0000-0000-00005B040000}"/>
    <cellStyle name="20% - Accent6 2 4 3" xfId="1396" xr:uid="{00000000-0005-0000-0000-00005C040000}"/>
    <cellStyle name="20% - Accent6 2 4 3 2" xfId="1397" xr:uid="{00000000-0005-0000-0000-00005D040000}"/>
    <cellStyle name="20% - Accent6 2 4 3 2 2" xfId="1398" xr:uid="{00000000-0005-0000-0000-00005E040000}"/>
    <cellStyle name="20% - Accent6 2 4 3 3" xfId="1399" xr:uid="{00000000-0005-0000-0000-00005F040000}"/>
    <cellStyle name="20% - Accent6 2 4 3 3 2" xfId="1400" xr:uid="{00000000-0005-0000-0000-000060040000}"/>
    <cellStyle name="20% - Accent6 2 4 3 4" xfId="1401" xr:uid="{00000000-0005-0000-0000-000061040000}"/>
    <cellStyle name="20% - Accent6 2 4 4" xfId="1402" xr:uid="{00000000-0005-0000-0000-000062040000}"/>
    <cellStyle name="20% - Accent6 2 4 4 2" xfId="1403" xr:uid="{00000000-0005-0000-0000-000063040000}"/>
    <cellStyle name="20% - Accent6 2 4 4 2 2" xfId="1404" xr:uid="{00000000-0005-0000-0000-000064040000}"/>
    <cellStyle name="20% - Accent6 2 4 4 3" xfId="1405" xr:uid="{00000000-0005-0000-0000-000065040000}"/>
    <cellStyle name="20% - Accent6 2 4 5" xfId="1406" xr:uid="{00000000-0005-0000-0000-000066040000}"/>
    <cellStyle name="20% - Accent6 2 4 5 2" xfId="1407" xr:uid="{00000000-0005-0000-0000-000067040000}"/>
    <cellStyle name="20% - Accent6 2 4 6" xfId="1408" xr:uid="{00000000-0005-0000-0000-000068040000}"/>
    <cellStyle name="20% - Accent6 2 4 6 2" xfId="1409" xr:uid="{00000000-0005-0000-0000-000069040000}"/>
    <cellStyle name="20% - Accent6 2 4 7" xfId="1410" xr:uid="{00000000-0005-0000-0000-00006A040000}"/>
    <cellStyle name="20% - Accent6 2 5" xfId="1411" xr:uid="{00000000-0005-0000-0000-00006B040000}"/>
    <cellStyle name="20% - Accent6 2 5 2" xfId="1412" xr:uid="{00000000-0005-0000-0000-00006C040000}"/>
    <cellStyle name="20% - Accent6 2 5 2 2" xfId="1413" xr:uid="{00000000-0005-0000-0000-00006D040000}"/>
    <cellStyle name="20% - Accent6 2 5 3" xfId="1414" xr:uid="{00000000-0005-0000-0000-00006E040000}"/>
    <cellStyle name="20% - Accent6 3" xfId="1415" xr:uid="{00000000-0005-0000-0000-00006F040000}"/>
    <cellStyle name="3" xfId="1416" xr:uid="{00000000-0005-0000-0000-000070040000}"/>
    <cellStyle name="40% - Accent1 2" xfId="10" xr:uid="{00000000-0005-0000-0000-000071040000}"/>
    <cellStyle name="40% - Accent1 2 2" xfId="1417" xr:uid="{00000000-0005-0000-0000-000072040000}"/>
    <cellStyle name="40% - Accent1 2 2 2" xfId="1418" xr:uid="{00000000-0005-0000-0000-000073040000}"/>
    <cellStyle name="40% - Accent1 2 2 2 2" xfId="1419" xr:uid="{00000000-0005-0000-0000-000074040000}"/>
    <cellStyle name="40% - Accent1 2 2 2 2 2" xfId="1420" xr:uid="{00000000-0005-0000-0000-000075040000}"/>
    <cellStyle name="40% - Accent1 2 2 2 2 2 2" xfId="1421" xr:uid="{00000000-0005-0000-0000-000076040000}"/>
    <cellStyle name="40% - Accent1 2 2 2 2 2 2 2" xfId="1422" xr:uid="{00000000-0005-0000-0000-000077040000}"/>
    <cellStyle name="40% - Accent1 2 2 2 2 2 3" xfId="1423" xr:uid="{00000000-0005-0000-0000-000078040000}"/>
    <cellStyle name="40% - Accent1 2 2 2 2 2 3 2" xfId="1424" xr:uid="{00000000-0005-0000-0000-000079040000}"/>
    <cellStyle name="40% - Accent1 2 2 2 2 2 4" xfId="1425" xr:uid="{00000000-0005-0000-0000-00007A040000}"/>
    <cellStyle name="40% - Accent1 2 2 2 2 3" xfId="1426" xr:uid="{00000000-0005-0000-0000-00007B040000}"/>
    <cellStyle name="40% - Accent1 2 2 2 2 3 2" xfId="1427" xr:uid="{00000000-0005-0000-0000-00007C040000}"/>
    <cellStyle name="40% - Accent1 2 2 2 2 3 2 2" xfId="1428" xr:uid="{00000000-0005-0000-0000-00007D040000}"/>
    <cellStyle name="40% - Accent1 2 2 2 2 3 3" xfId="1429" xr:uid="{00000000-0005-0000-0000-00007E040000}"/>
    <cellStyle name="40% - Accent1 2 2 2 2 4" xfId="1430" xr:uid="{00000000-0005-0000-0000-00007F040000}"/>
    <cellStyle name="40% - Accent1 2 2 2 2 4 2" xfId="1431" xr:uid="{00000000-0005-0000-0000-000080040000}"/>
    <cellStyle name="40% - Accent1 2 2 2 2 5" xfId="1432" xr:uid="{00000000-0005-0000-0000-000081040000}"/>
    <cellStyle name="40% - Accent1 2 2 2 2 5 2" xfId="1433" xr:uid="{00000000-0005-0000-0000-000082040000}"/>
    <cellStyle name="40% - Accent1 2 2 2 2 6" xfId="1434" xr:uid="{00000000-0005-0000-0000-000083040000}"/>
    <cellStyle name="40% - Accent1 2 2 2 3" xfId="1435" xr:uid="{00000000-0005-0000-0000-000084040000}"/>
    <cellStyle name="40% - Accent1 2 2 2 3 2" xfId="1436" xr:uid="{00000000-0005-0000-0000-000085040000}"/>
    <cellStyle name="40% - Accent1 2 2 2 3 2 2" xfId="1437" xr:uid="{00000000-0005-0000-0000-000086040000}"/>
    <cellStyle name="40% - Accent1 2 2 2 3 3" xfId="1438" xr:uid="{00000000-0005-0000-0000-000087040000}"/>
    <cellStyle name="40% - Accent1 2 2 2 3 3 2" xfId="1439" xr:uid="{00000000-0005-0000-0000-000088040000}"/>
    <cellStyle name="40% - Accent1 2 2 2 3 4" xfId="1440" xr:uid="{00000000-0005-0000-0000-000089040000}"/>
    <cellStyle name="40% - Accent1 2 2 2 4" xfId="1441" xr:uid="{00000000-0005-0000-0000-00008A040000}"/>
    <cellStyle name="40% - Accent1 2 2 2 4 2" xfId="1442" xr:uid="{00000000-0005-0000-0000-00008B040000}"/>
    <cellStyle name="40% - Accent1 2 2 2 4 2 2" xfId="1443" xr:uid="{00000000-0005-0000-0000-00008C040000}"/>
    <cellStyle name="40% - Accent1 2 2 2 4 3" xfId="1444" xr:uid="{00000000-0005-0000-0000-00008D040000}"/>
    <cellStyle name="40% - Accent1 2 2 2 5" xfId="1445" xr:uid="{00000000-0005-0000-0000-00008E040000}"/>
    <cellStyle name="40% - Accent1 2 2 2 5 2" xfId="1446" xr:uid="{00000000-0005-0000-0000-00008F040000}"/>
    <cellStyle name="40% - Accent1 2 2 2 6" xfId="1447" xr:uid="{00000000-0005-0000-0000-000090040000}"/>
    <cellStyle name="40% - Accent1 2 2 2 6 2" xfId="1448" xr:uid="{00000000-0005-0000-0000-000091040000}"/>
    <cellStyle name="40% - Accent1 2 2 2 7" xfId="1449" xr:uid="{00000000-0005-0000-0000-000092040000}"/>
    <cellStyle name="40% - Accent1 2 2 3" xfId="1450" xr:uid="{00000000-0005-0000-0000-000093040000}"/>
    <cellStyle name="40% - Accent1 2 2 3 2" xfId="1451" xr:uid="{00000000-0005-0000-0000-000094040000}"/>
    <cellStyle name="40% - Accent1 2 2 3 2 2" xfId="1452" xr:uid="{00000000-0005-0000-0000-000095040000}"/>
    <cellStyle name="40% - Accent1 2 2 3 2 2 2" xfId="1453" xr:uid="{00000000-0005-0000-0000-000096040000}"/>
    <cellStyle name="40% - Accent1 2 2 3 2 2 2 2" xfId="1454" xr:uid="{00000000-0005-0000-0000-000097040000}"/>
    <cellStyle name="40% - Accent1 2 2 3 2 2 3" xfId="1455" xr:uid="{00000000-0005-0000-0000-000098040000}"/>
    <cellStyle name="40% - Accent1 2 2 3 2 2 3 2" xfId="1456" xr:uid="{00000000-0005-0000-0000-000099040000}"/>
    <cellStyle name="40% - Accent1 2 2 3 2 2 4" xfId="1457" xr:uid="{00000000-0005-0000-0000-00009A040000}"/>
    <cellStyle name="40% - Accent1 2 2 3 2 3" xfId="1458" xr:uid="{00000000-0005-0000-0000-00009B040000}"/>
    <cellStyle name="40% - Accent1 2 2 3 2 3 2" xfId="1459" xr:uid="{00000000-0005-0000-0000-00009C040000}"/>
    <cellStyle name="40% - Accent1 2 2 3 2 3 2 2" xfId="1460" xr:uid="{00000000-0005-0000-0000-00009D040000}"/>
    <cellStyle name="40% - Accent1 2 2 3 2 3 3" xfId="1461" xr:uid="{00000000-0005-0000-0000-00009E040000}"/>
    <cellStyle name="40% - Accent1 2 2 3 2 4" xfId="1462" xr:uid="{00000000-0005-0000-0000-00009F040000}"/>
    <cellStyle name="40% - Accent1 2 2 3 2 4 2" xfId="1463" xr:uid="{00000000-0005-0000-0000-0000A0040000}"/>
    <cellStyle name="40% - Accent1 2 2 3 2 5" xfId="1464" xr:uid="{00000000-0005-0000-0000-0000A1040000}"/>
    <cellStyle name="40% - Accent1 2 2 3 2 5 2" xfId="1465" xr:uid="{00000000-0005-0000-0000-0000A2040000}"/>
    <cellStyle name="40% - Accent1 2 2 3 2 6" xfId="1466" xr:uid="{00000000-0005-0000-0000-0000A3040000}"/>
    <cellStyle name="40% - Accent1 2 2 3 3" xfId="1467" xr:uid="{00000000-0005-0000-0000-0000A4040000}"/>
    <cellStyle name="40% - Accent1 2 2 3 3 2" xfId="1468" xr:uid="{00000000-0005-0000-0000-0000A5040000}"/>
    <cellStyle name="40% - Accent1 2 2 3 3 2 2" xfId="1469" xr:uid="{00000000-0005-0000-0000-0000A6040000}"/>
    <cellStyle name="40% - Accent1 2 2 3 3 3" xfId="1470" xr:uid="{00000000-0005-0000-0000-0000A7040000}"/>
    <cellStyle name="40% - Accent1 2 2 3 3 3 2" xfId="1471" xr:uid="{00000000-0005-0000-0000-0000A8040000}"/>
    <cellStyle name="40% - Accent1 2 2 3 3 4" xfId="1472" xr:uid="{00000000-0005-0000-0000-0000A9040000}"/>
    <cellStyle name="40% - Accent1 2 2 3 4" xfId="1473" xr:uid="{00000000-0005-0000-0000-0000AA040000}"/>
    <cellStyle name="40% - Accent1 2 2 3 4 2" xfId="1474" xr:uid="{00000000-0005-0000-0000-0000AB040000}"/>
    <cellStyle name="40% - Accent1 2 2 3 4 2 2" xfId="1475" xr:uid="{00000000-0005-0000-0000-0000AC040000}"/>
    <cellStyle name="40% - Accent1 2 2 3 4 3" xfId="1476" xr:uid="{00000000-0005-0000-0000-0000AD040000}"/>
    <cellStyle name="40% - Accent1 2 2 3 5" xfId="1477" xr:uid="{00000000-0005-0000-0000-0000AE040000}"/>
    <cellStyle name="40% - Accent1 2 2 3 5 2" xfId="1478" xr:uid="{00000000-0005-0000-0000-0000AF040000}"/>
    <cellStyle name="40% - Accent1 2 2 3 6" xfId="1479" xr:uid="{00000000-0005-0000-0000-0000B0040000}"/>
    <cellStyle name="40% - Accent1 2 2 3 6 2" xfId="1480" xr:uid="{00000000-0005-0000-0000-0000B1040000}"/>
    <cellStyle name="40% - Accent1 2 2 3 7" xfId="1481" xr:uid="{00000000-0005-0000-0000-0000B2040000}"/>
    <cellStyle name="40% - Accent1 2 2 4" xfId="1482" xr:uid="{00000000-0005-0000-0000-0000B3040000}"/>
    <cellStyle name="40% - Accent1 2 2 4 2" xfId="1483" xr:uid="{00000000-0005-0000-0000-0000B4040000}"/>
    <cellStyle name="40% - Accent1 2 2 4 2 2" xfId="1484" xr:uid="{00000000-0005-0000-0000-0000B5040000}"/>
    <cellStyle name="40% - Accent1 2 2 4 3" xfId="1485" xr:uid="{00000000-0005-0000-0000-0000B6040000}"/>
    <cellStyle name="40% - Accent1 2 3" xfId="1486" xr:uid="{00000000-0005-0000-0000-0000B7040000}"/>
    <cellStyle name="40% - Accent1 2 3 2" xfId="1487" xr:uid="{00000000-0005-0000-0000-0000B8040000}"/>
    <cellStyle name="40% - Accent1 2 3 2 2" xfId="1488" xr:uid="{00000000-0005-0000-0000-0000B9040000}"/>
    <cellStyle name="40% - Accent1 2 3 2 2 2" xfId="1489" xr:uid="{00000000-0005-0000-0000-0000BA040000}"/>
    <cellStyle name="40% - Accent1 2 3 2 2 2 2" xfId="1490" xr:uid="{00000000-0005-0000-0000-0000BB040000}"/>
    <cellStyle name="40% - Accent1 2 3 2 2 3" xfId="1491" xr:uid="{00000000-0005-0000-0000-0000BC040000}"/>
    <cellStyle name="40% - Accent1 2 3 2 2 3 2" xfId="1492" xr:uid="{00000000-0005-0000-0000-0000BD040000}"/>
    <cellStyle name="40% - Accent1 2 3 2 2 4" xfId="1493" xr:uid="{00000000-0005-0000-0000-0000BE040000}"/>
    <cellStyle name="40% - Accent1 2 3 2 3" xfId="1494" xr:uid="{00000000-0005-0000-0000-0000BF040000}"/>
    <cellStyle name="40% - Accent1 2 3 2 3 2" xfId="1495" xr:uid="{00000000-0005-0000-0000-0000C0040000}"/>
    <cellStyle name="40% - Accent1 2 3 2 3 2 2" xfId="1496" xr:uid="{00000000-0005-0000-0000-0000C1040000}"/>
    <cellStyle name="40% - Accent1 2 3 2 3 3" xfId="1497" xr:uid="{00000000-0005-0000-0000-0000C2040000}"/>
    <cellStyle name="40% - Accent1 2 3 2 4" xfId="1498" xr:uid="{00000000-0005-0000-0000-0000C3040000}"/>
    <cellStyle name="40% - Accent1 2 3 2 4 2" xfId="1499" xr:uid="{00000000-0005-0000-0000-0000C4040000}"/>
    <cellStyle name="40% - Accent1 2 3 2 5" xfId="1500" xr:uid="{00000000-0005-0000-0000-0000C5040000}"/>
    <cellStyle name="40% - Accent1 2 3 2 5 2" xfId="1501" xr:uid="{00000000-0005-0000-0000-0000C6040000}"/>
    <cellStyle name="40% - Accent1 2 3 2 6" xfId="1502" xr:uid="{00000000-0005-0000-0000-0000C7040000}"/>
    <cellStyle name="40% - Accent1 2 3 3" xfId="1503" xr:uid="{00000000-0005-0000-0000-0000C8040000}"/>
    <cellStyle name="40% - Accent1 2 3 3 2" xfId="1504" xr:uid="{00000000-0005-0000-0000-0000C9040000}"/>
    <cellStyle name="40% - Accent1 2 3 3 2 2" xfId="1505" xr:uid="{00000000-0005-0000-0000-0000CA040000}"/>
    <cellStyle name="40% - Accent1 2 3 3 3" xfId="1506" xr:uid="{00000000-0005-0000-0000-0000CB040000}"/>
    <cellStyle name="40% - Accent1 2 3 3 3 2" xfId="1507" xr:uid="{00000000-0005-0000-0000-0000CC040000}"/>
    <cellStyle name="40% - Accent1 2 3 3 4" xfId="1508" xr:uid="{00000000-0005-0000-0000-0000CD040000}"/>
    <cellStyle name="40% - Accent1 2 3 4" xfId="1509" xr:uid="{00000000-0005-0000-0000-0000CE040000}"/>
    <cellStyle name="40% - Accent1 2 3 4 2" xfId="1510" xr:uid="{00000000-0005-0000-0000-0000CF040000}"/>
    <cellStyle name="40% - Accent1 2 3 4 2 2" xfId="1511" xr:uid="{00000000-0005-0000-0000-0000D0040000}"/>
    <cellStyle name="40% - Accent1 2 3 4 3" xfId="1512" xr:uid="{00000000-0005-0000-0000-0000D1040000}"/>
    <cellStyle name="40% - Accent1 2 3 5" xfId="1513" xr:uid="{00000000-0005-0000-0000-0000D2040000}"/>
    <cellStyle name="40% - Accent1 2 3 5 2" xfId="1514" xr:uid="{00000000-0005-0000-0000-0000D3040000}"/>
    <cellStyle name="40% - Accent1 2 3 6" xfId="1515" xr:uid="{00000000-0005-0000-0000-0000D4040000}"/>
    <cellStyle name="40% - Accent1 2 3 6 2" xfId="1516" xr:uid="{00000000-0005-0000-0000-0000D5040000}"/>
    <cellStyle name="40% - Accent1 2 3 7" xfId="1517" xr:uid="{00000000-0005-0000-0000-0000D6040000}"/>
    <cellStyle name="40% - Accent1 2 4" xfId="1518" xr:uid="{00000000-0005-0000-0000-0000D7040000}"/>
    <cellStyle name="40% - Accent1 2 4 2" xfId="1519" xr:uid="{00000000-0005-0000-0000-0000D8040000}"/>
    <cellStyle name="40% - Accent1 2 4 2 2" xfId="1520" xr:uid="{00000000-0005-0000-0000-0000D9040000}"/>
    <cellStyle name="40% - Accent1 2 4 2 2 2" xfId="1521" xr:uid="{00000000-0005-0000-0000-0000DA040000}"/>
    <cellStyle name="40% - Accent1 2 4 2 2 2 2" xfId="1522" xr:uid="{00000000-0005-0000-0000-0000DB040000}"/>
    <cellStyle name="40% - Accent1 2 4 2 2 3" xfId="1523" xr:uid="{00000000-0005-0000-0000-0000DC040000}"/>
    <cellStyle name="40% - Accent1 2 4 2 2 3 2" xfId="1524" xr:uid="{00000000-0005-0000-0000-0000DD040000}"/>
    <cellStyle name="40% - Accent1 2 4 2 2 4" xfId="1525" xr:uid="{00000000-0005-0000-0000-0000DE040000}"/>
    <cellStyle name="40% - Accent1 2 4 2 3" xfId="1526" xr:uid="{00000000-0005-0000-0000-0000DF040000}"/>
    <cellStyle name="40% - Accent1 2 4 2 3 2" xfId="1527" xr:uid="{00000000-0005-0000-0000-0000E0040000}"/>
    <cellStyle name="40% - Accent1 2 4 2 3 2 2" xfId="1528" xr:uid="{00000000-0005-0000-0000-0000E1040000}"/>
    <cellStyle name="40% - Accent1 2 4 2 3 3" xfId="1529" xr:uid="{00000000-0005-0000-0000-0000E2040000}"/>
    <cellStyle name="40% - Accent1 2 4 2 4" xfId="1530" xr:uid="{00000000-0005-0000-0000-0000E3040000}"/>
    <cellStyle name="40% - Accent1 2 4 2 4 2" xfId="1531" xr:uid="{00000000-0005-0000-0000-0000E4040000}"/>
    <cellStyle name="40% - Accent1 2 4 2 5" xfId="1532" xr:uid="{00000000-0005-0000-0000-0000E5040000}"/>
    <cellStyle name="40% - Accent1 2 4 2 5 2" xfId="1533" xr:uid="{00000000-0005-0000-0000-0000E6040000}"/>
    <cellStyle name="40% - Accent1 2 4 2 6" xfId="1534" xr:uid="{00000000-0005-0000-0000-0000E7040000}"/>
    <cellStyle name="40% - Accent1 2 4 3" xfId="1535" xr:uid="{00000000-0005-0000-0000-0000E8040000}"/>
    <cellStyle name="40% - Accent1 2 4 3 2" xfId="1536" xr:uid="{00000000-0005-0000-0000-0000E9040000}"/>
    <cellStyle name="40% - Accent1 2 4 3 2 2" xfId="1537" xr:uid="{00000000-0005-0000-0000-0000EA040000}"/>
    <cellStyle name="40% - Accent1 2 4 3 3" xfId="1538" xr:uid="{00000000-0005-0000-0000-0000EB040000}"/>
    <cellStyle name="40% - Accent1 2 4 3 3 2" xfId="1539" xr:uid="{00000000-0005-0000-0000-0000EC040000}"/>
    <cellStyle name="40% - Accent1 2 4 3 4" xfId="1540" xr:uid="{00000000-0005-0000-0000-0000ED040000}"/>
    <cellStyle name="40% - Accent1 2 4 4" xfId="1541" xr:uid="{00000000-0005-0000-0000-0000EE040000}"/>
    <cellStyle name="40% - Accent1 2 4 4 2" xfId="1542" xr:uid="{00000000-0005-0000-0000-0000EF040000}"/>
    <cellStyle name="40% - Accent1 2 4 4 2 2" xfId="1543" xr:uid="{00000000-0005-0000-0000-0000F0040000}"/>
    <cellStyle name="40% - Accent1 2 4 4 3" xfId="1544" xr:uid="{00000000-0005-0000-0000-0000F1040000}"/>
    <cellStyle name="40% - Accent1 2 4 5" xfId="1545" xr:uid="{00000000-0005-0000-0000-0000F2040000}"/>
    <cellStyle name="40% - Accent1 2 4 5 2" xfId="1546" xr:uid="{00000000-0005-0000-0000-0000F3040000}"/>
    <cellStyle name="40% - Accent1 2 4 6" xfId="1547" xr:uid="{00000000-0005-0000-0000-0000F4040000}"/>
    <cellStyle name="40% - Accent1 2 4 6 2" xfId="1548" xr:uid="{00000000-0005-0000-0000-0000F5040000}"/>
    <cellStyle name="40% - Accent1 2 4 7" xfId="1549" xr:uid="{00000000-0005-0000-0000-0000F6040000}"/>
    <cellStyle name="40% - Accent1 2 5" xfId="1550" xr:uid="{00000000-0005-0000-0000-0000F7040000}"/>
    <cellStyle name="40% - Accent1 2 5 2" xfId="1551" xr:uid="{00000000-0005-0000-0000-0000F8040000}"/>
    <cellStyle name="40% - Accent1 2 5 2 2" xfId="1552" xr:uid="{00000000-0005-0000-0000-0000F9040000}"/>
    <cellStyle name="40% - Accent1 2 5 3" xfId="1553" xr:uid="{00000000-0005-0000-0000-0000FA040000}"/>
    <cellStyle name="40% - Accent1 3" xfId="1554" xr:uid="{00000000-0005-0000-0000-0000FB040000}"/>
    <cellStyle name="40% - Accent1 4" xfId="1555" xr:uid="{00000000-0005-0000-0000-0000FC040000}"/>
    <cellStyle name="40% - Accent2 2" xfId="11" xr:uid="{00000000-0005-0000-0000-0000FD040000}"/>
    <cellStyle name="40% - Accent2 2 2" xfId="1556" xr:uid="{00000000-0005-0000-0000-0000FE040000}"/>
    <cellStyle name="40% - Accent2 2 2 2" xfId="1557" xr:uid="{00000000-0005-0000-0000-0000FF040000}"/>
    <cellStyle name="40% - Accent2 2 2 2 2" xfId="1558" xr:uid="{00000000-0005-0000-0000-000000050000}"/>
    <cellStyle name="40% - Accent2 2 2 2 2 2" xfId="1559" xr:uid="{00000000-0005-0000-0000-000001050000}"/>
    <cellStyle name="40% - Accent2 2 2 2 2 2 2" xfId="1560" xr:uid="{00000000-0005-0000-0000-000002050000}"/>
    <cellStyle name="40% - Accent2 2 2 2 2 2 2 2" xfId="1561" xr:uid="{00000000-0005-0000-0000-000003050000}"/>
    <cellStyle name="40% - Accent2 2 2 2 2 2 3" xfId="1562" xr:uid="{00000000-0005-0000-0000-000004050000}"/>
    <cellStyle name="40% - Accent2 2 2 2 2 2 3 2" xfId="1563" xr:uid="{00000000-0005-0000-0000-000005050000}"/>
    <cellStyle name="40% - Accent2 2 2 2 2 2 4" xfId="1564" xr:uid="{00000000-0005-0000-0000-000006050000}"/>
    <cellStyle name="40% - Accent2 2 2 2 2 3" xfId="1565" xr:uid="{00000000-0005-0000-0000-000007050000}"/>
    <cellStyle name="40% - Accent2 2 2 2 2 3 2" xfId="1566" xr:uid="{00000000-0005-0000-0000-000008050000}"/>
    <cellStyle name="40% - Accent2 2 2 2 2 3 2 2" xfId="1567" xr:uid="{00000000-0005-0000-0000-000009050000}"/>
    <cellStyle name="40% - Accent2 2 2 2 2 3 3" xfId="1568" xr:uid="{00000000-0005-0000-0000-00000A050000}"/>
    <cellStyle name="40% - Accent2 2 2 2 2 4" xfId="1569" xr:uid="{00000000-0005-0000-0000-00000B050000}"/>
    <cellStyle name="40% - Accent2 2 2 2 2 4 2" xfId="1570" xr:uid="{00000000-0005-0000-0000-00000C050000}"/>
    <cellStyle name="40% - Accent2 2 2 2 2 5" xfId="1571" xr:uid="{00000000-0005-0000-0000-00000D050000}"/>
    <cellStyle name="40% - Accent2 2 2 2 2 5 2" xfId="1572" xr:uid="{00000000-0005-0000-0000-00000E050000}"/>
    <cellStyle name="40% - Accent2 2 2 2 2 6" xfId="1573" xr:uid="{00000000-0005-0000-0000-00000F050000}"/>
    <cellStyle name="40% - Accent2 2 2 2 3" xfId="1574" xr:uid="{00000000-0005-0000-0000-000010050000}"/>
    <cellStyle name="40% - Accent2 2 2 2 3 2" xfId="1575" xr:uid="{00000000-0005-0000-0000-000011050000}"/>
    <cellStyle name="40% - Accent2 2 2 2 3 2 2" xfId="1576" xr:uid="{00000000-0005-0000-0000-000012050000}"/>
    <cellStyle name="40% - Accent2 2 2 2 3 3" xfId="1577" xr:uid="{00000000-0005-0000-0000-000013050000}"/>
    <cellStyle name="40% - Accent2 2 2 2 3 3 2" xfId="1578" xr:uid="{00000000-0005-0000-0000-000014050000}"/>
    <cellStyle name="40% - Accent2 2 2 2 3 4" xfId="1579" xr:uid="{00000000-0005-0000-0000-000015050000}"/>
    <cellStyle name="40% - Accent2 2 2 2 4" xfId="1580" xr:uid="{00000000-0005-0000-0000-000016050000}"/>
    <cellStyle name="40% - Accent2 2 2 2 4 2" xfId="1581" xr:uid="{00000000-0005-0000-0000-000017050000}"/>
    <cellStyle name="40% - Accent2 2 2 2 4 2 2" xfId="1582" xr:uid="{00000000-0005-0000-0000-000018050000}"/>
    <cellStyle name="40% - Accent2 2 2 2 4 3" xfId="1583" xr:uid="{00000000-0005-0000-0000-000019050000}"/>
    <cellStyle name="40% - Accent2 2 2 2 5" xfId="1584" xr:uid="{00000000-0005-0000-0000-00001A050000}"/>
    <cellStyle name="40% - Accent2 2 2 2 5 2" xfId="1585" xr:uid="{00000000-0005-0000-0000-00001B050000}"/>
    <cellStyle name="40% - Accent2 2 2 2 6" xfId="1586" xr:uid="{00000000-0005-0000-0000-00001C050000}"/>
    <cellStyle name="40% - Accent2 2 2 2 6 2" xfId="1587" xr:uid="{00000000-0005-0000-0000-00001D050000}"/>
    <cellStyle name="40% - Accent2 2 2 2 7" xfId="1588" xr:uid="{00000000-0005-0000-0000-00001E050000}"/>
    <cellStyle name="40% - Accent2 2 2 3" xfId="1589" xr:uid="{00000000-0005-0000-0000-00001F050000}"/>
    <cellStyle name="40% - Accent2 2 2 3 2" xfId="1590" xr:uid="{00000000-0005-0000-0000-000020050000}"/>
    <cellStyle name="40% - Accent2 2 2 3 2 2" xfId="1591" xr:uid="{00000000-0005-0000-0000-000021050000}"/>
    <cellStyle name="40% - Accent2 2 2 3 2 2 2" xfId="1592" xr:uid="{00000000-0005-0000-0000-000022050000}"/>
    <cellStyle name="40% - Accent2 2 2 3 2 2 2 2" xfId="1593" xr:uid="{00000000-0005-0000-0000-000023050000}"/>
    <cellStyle name="40% - Accent2 2 2 3 2 2 3" xfId="1594" xr:uid="{00000000-0005-0000-0000-000024050000}"/>
    <cellStyle name="40% - Accent2 2 2 3 2 2 3 2" xfId="1595" xr:uid="{00000000-0005-0000-0000-000025050000}"/>
    <cellStyle name="40% - Accent2 2 2 3 2 2 4" xfId="1596" xr:uid="{00000000-0005-0000-0000-000026050000}"/>
    <cellStyle name="40% - Accent2 2 2 3 2 3" xfId="1597" xr:uid="{00000000-0005-0000-0000-000027050000}"/>
    <cellStyle name="40% - Accent2 2 2 3 2 3 2" xfId="1598" xr:uid="{00000000-0005-0000-0000-000028050000}"/>
    <cellStyle name="40% - Accent2 2 2 3 2 3 2 2" xfId="1599" xr:uid="{00000000-0005-0000-0000-000029050000}"/>
    <cellStyle name="40% - Accent2 2 2 3 2 3 3" xfId="1600" xr:uid="{00000000-0005-0000-0000-00002A050000}"/>
    <cellStyle name="40% - Accent2 2 2 3 2 4" xfId="1601" xr:uid="{00000000-0005-0000-0000-00002B050000}"/>
    <cellStyle name="40% - Accent2 2 2 3 2 4 2" xfId="1602" xr:uid="{00000000-0005-0000-0000-00002C050000}"/>
    <cellStyle name="40% - Accent2 2 2 3 2 5" xfId="1603" xr:uid="{00000000-0005-0000-0000-00002D050000}"/>
    <cellStyle name="40% - Accent2 2 2 3 2 5 2" xfId="1604" xr:uid="{00000000-0005-0000-0000-00002E050000}"/>
    <cellStyle name="40% - Accent2 2 2 3 2 6" xfId="1605" xr:uid="{00000000-0005-0000-0000-00002F050000}"/>
    <cellStyle name="40% - Accent2 2 2 3 3" xfId="1606" xr:uid="{00000000-0005-0000-0000-000030050000}"/>
    <cellStyle name="40% - Accent2 2 2 3 3 2" xfId="1607" xr:uid="{00000000-0005-0000-0000-000031050000}"/>
    <cellStyle name="40% - Accent2 2 2 3 3 2 2" xfId="1608" xr:uid="{00000000-0005-0000-0000-000032050000}"/>
    <cellStyle name="40% - Accent2 2 2 3 3 3" xfId="1609" xr:uid="{00000000-0005-0000-0000-000033050000}"/>
    <cellStyle name="40% - Accent2 2 2 3 3 3 2" xfId="1610" xr:uid="{00000000-0005-0000-0000-000034050000}"/>
    <cellStyle name="40% - Accent2 2 2 3 3 4" xfId="1611" xr:uid="{00000000-0005-0000-0000-000035050000}"/>
    <cellStyle name="40% - Accent2 2 2 3 4" xfId="1612" xr:uid="{00000000-0005-0000-0000-000036050000}"/>
    <cellStyle name="40% - Accent2 2 2 3 4 2" xfId="1613" xr:uid="{00000000-0005-0000-0000-000037050000}"/>
    <cellStyle name="40% - Accent2 2 2 3 4 2 2" xfId="1614" xr:uid="{00000000-0005-0000-0000-000038050000}"/>
    <cellStyle name="40% - Accent2 2 2 3 4 3" xfId="1615" xr:uid="{00000000-0005-0000-0000-000039050000}"/>
    <cellStyle name="40% - Accent2 2 2 3 5" xfId="1616" xr:uid="{00000000-0005-0000-0000-00003A050000}"/>
    <cellStyle name="40% - Accent2 2 2 3 5 2" xfId="1617" xr:uid="{00000000-0005-0000-0000-00003B050000}"/>
    <cellStyle name="40% - Accent2 2 2 3 6" xfId="1618" xr:uid="{00000000-0005-0000-0000-00003C050000}"/>
    <cellStyle name="40% - Accent2 2 2 3 6 2" xfId="1619" xr:uid="{00000000-0005-0000-0000-00003D050000}"/>
    <cellStyle name="40% - Accent2 2 2 3 7" xfId="1620" xr:uid="{00000000-0005-0000-0000-00003E050000}"/>
    <cellStyle name="40% - Accent2 2 2 4" xfId="1621" xr:uid="{00000000-0005-0000-0000-00003F050000}"/>
    <cellStyle name="40% - Accent2 2 2 4 2" xfId="1622" xr:uid="{00000000-0005-0000-0000-000040050000}"/>
    <cellStyle name="40% - Accent2 2 2 4 2 2" xfId="1623" xr:uid="{00000000-0005-0000-0000-000041050000}"/>
    <cellStyle name="40% - Accent2 2 2 4 2 2 2" xfId="1624" xr:uid="{00000000-0005-0000-0000-000042050000}"/>
    <cellStyle name="40% - Accent2 2 2 4 2 3" xfId="1625" xr:uid="{00000000-0005-0000-0000-000043050000}"/>
    <cellStyle name="40% - Accent2 2 2 4 2 3 2" xfId="1626" xr:uid="{00000000-0005-0000-0000-000044050000}"/>
    <cellStyle name="40% - Accent2 2 2 4 2 4" xfId="1627" xr:uid="{00000000-0005-0000-0000-000045050000}"/>
    <cellStyle name="40% - Accent2 2 2 4 3" xfId="1628" xr:uid="{00000000-0005-0000-0000-000046050000}"/>
    <cellStyle name="40% - Accent2 2 2 4 3 2" xfId="1629" xr:uid="{00000000-0005-0000-0000-000047050000}"/>
    <cellStyle name="40% - Accent2 2 2 4 3 2 2" xfId="1630" xr:uid="{00000000-0005-0000-0000-000048050000}"/>
    <cellStyle name="40% - Accent2 2 2 4 3 3" xfId="1631" xr:uid="{00000000-0005-0000-0000-000049050000}"/>
    <cellStyle name="40% - Accent2 2 2 4 4" xfId="1632" xr:uid="{00000000-0005-0000-0000-00004A050000}"/>
    <cellStyle name="40% - Accent2 2 2 4 4 2" xfId="1633" xr:uid="{00000000-0005-0000-0000-00004B050000}"/>
    <cellStyle name="40% - Accent2 2 2 4 5" xfId="1634" xr:uid="{00000000-0005-0000-0000-00004C050000}"/>
    <cellStyle name="40% - Accent2 2 2 4 5 2" xfId="1635" xr:uid="{00000000-0005-0000-0000-00004D050000}"/>
    <cellStyle name="40% - Accent2 2 2 4 6" xfId="1636" xr:uid="{00000000-0005-0000-0000-00004E050000}"/>
    <cellStyle name="40% - Accent2 2 2 5" xfId="1637" xr:uid="{00000000-0005-0000-0000-00004F050000}"/>
    <cellStyle name="40% - Accent2 2 2 5 2" xfId="1638" xr:uid="{00000000-0005-0000-0000-000050050000}"/>
    <cellStyle name="40% - Accent2 2 2 5 2 2" xfId="1639" xr:uid="{00000000-0005-0000-0000-000051050000}"/>
    <cellStyle name="40% - Accent2 2 2 5 3" xfId="1640" xr:uid="{00000000-0005-0000-0000-000052050000}"/>
    <cellStyle name="40% - Accent2 2 2 5 3 2" xfId="1641" xr:uid="{00000000-0005-0000-0000-000053050000}"/>
    <cellStyle name="40% - Accent2 2 2 5 4" xfId="1642" xr:uid="{00000000-0005-0000-0000-000054050000}"/>
    <cellStyle name="40% - Accent2 2 2 6" xfId="1643" xr:uid="{00000000-0005-0000-0000-000055050000}"/>
    <cellStyle name="40% - Accent2 2 2 6 2" xfId="1644" xr:uid="{00000000-0005-0000-0000-000056050000}"/>
    <cellStyle name="40% - Accent2 2 2 6 2 2" xfId="1645" xr:uid="{00000000-0005-0000-0000-000057050000}"/>
    <cellStyle name="40% - Accent2 2 2 6 3" xfId="1646" xr:uid="{00000000-0005-0000-0000-000058050000}"/>
    <cellStyle name="40% - Accent2 2 2 7" xfId="1647" xr:uid="{00000000-0005-0000-0000-000059050000}"/>
    <cellStyle name="40% - Accent2 2 2 7 2" xfId="1648" xr:uid="{00000000-0005-0000-0000-00005A050000}"/>
    <cellStyle name="40% - Accent2 2 2 8" xfId="1649" xr:uid="{00000000-0005-0000-0000-00005B050000}"/>
    <cellStyle name="40% - Accent2 2 2 8 2" xfId="1650" xr:uid="{00000000-0005-0000-0000-00005C050000}"/>
    <cellStyle name="40% - Accent2 2 2 9" xfId="1651" xr:uid="{00000000-0005-0000-0000-00005D050000}"/>
    <cellStyle name="40% - Accent2 2 3" xfId="1652" xr:uid="{00000000-0005-0000-0000-00005E050000}"/>
    <cellStyle name="40% - Accent2 2 3 2" xfId="1653" xr:uid="{00000000-0005-0000-0000-00005F050000}"/>
    <cellStyle name="40% - Accent2 2 3 2 2" xfId="1654" xr:uid="{00000000-0005-0000-0000-000060050000}"/>
    <cellStyle name="40% - Accent2 2 3 2 2 2" xfId="1655" xr:uid="{00000000-0005-0000-0000-000061050000}"/>
    <cellStyle name="40% - Accent2 2 3 2 2 2 2" xfId="1656" xr:uid="{00000000-0005-0000-0000-000062050000}"/>
    <cellStyle name="40% - Accent2 2 3 2 2 3" xfId="1657" xr:uid="{00000000-0005-0000-0000-000063050000}"/>
    <cellStyle name="40% - Accent2 2 3 2 2 3 2" xfId="1658" xr:uid="{00000000-0005-0000-0000-000064050000}"/>
    <cellStyle name="40% - Accent2 2 3 2 2 4" xfId="1659" xr:uid="{00000000-0005-0000-0000-000065050000}"/>
    <cellStyle name="40% - Accent2 2 3 2 3" xfId="1660" xr:uid="{00000000-0005-0000-0000-000066050000}"/>
    <cellStyle name="40% - Accent2 2 3 2 3 2" xfId="1661" xr:uid="{00000000-0005-0000-0000-000067050000}"/>
    <cellStyle name="40% - Accent2 2 3 2 3 2 2" xfId="1662" xr:uid="{00000000-0005-0000-0000-000068050000}"/>
    <cellStyle name="40% - Accent2 2 3 2 3 3" xfId="1663" xr:uid="{00000000-0005-0000-0000-000069050000}"/>
    <cellStyle name="40% - Accent2 2 3 2 4" xfId="1664" xr:uid="{00000000-0005-0000-0000-00006A050000}"/>
    <cellStyle name="40% - Accent2 2 3 2 4 2" xfId="1665" xr:uid="{00000000-0005-0000-0000-00006B050000}"/>
    <cellStyle name="40% - Accent2 2 3 2 5" xfId="1666" xr:uid="{00000000-0005-0000-0000-00006C050000}"/>
    <cellStyle name="40% - Accent2 2 3 2 5 2" xfId="1667" xr:uid="{00000000-0005-0000-0000-00006D050000}"/>
    <cellStyle name="40% - Accent2 2 3 2 6" xfId="1668" xr:uid="{00000000-0005-0000-0000-00006E050000}"/>
    <cellStyle name="40% - Accent2 2 3 3" xfId="1669" xr:uid="{00000000-0005-0000-0000-00006F050000}"/>
    <cellStyle name="40% - Accent2 2 3 3 2" xfId="1670" xr:uid="{00000000-0005-0000-0000-000070050000}"/>
    <cellStyle name="40% - Accent2 2 3 3 2 2" xfId="1671" xr:uid="{00000000-0005-0000-0000-000071050000}"/>
    <cellStyle name="40% - Accent2 2 3 3 3" xfId="1672" xr:uid="{00000000-0005-0000-0000-000072050000}"/>
    <cellStyle name="40% - Accent2 2 3 3 3 2" xfId="1673" xr:uid="{00000000-0005-0000-0000-000073050000}"/>
    <cellStyle name="40% - Accent2 2 3 3 4" xfId="1674" xr:uid="{00000000-0005-0000-0000-000074050000}"/>
    <cellStyle name="40% - Accent2 2 3 4" xfId="1675" xr:uid="{00000000-0005-0000-0000-000075050000}"/>
    <cellStyle name="40% - Accent2 2 3 4 2" xfId="1676" xr:uid="{00000000-0005-0000-0000-000076050000}"/>
    <cellStyle name="40% - Accent2 2 3 4 2 2" xfId="1677" xr:uid="{00000000-0005-0000-0000-000077050000}"/>
    <cellStyle name="40% - Accent2 2 3 4 3" xfId="1678" xr:uid="{00000000-0005-0000-0000-000078050000}"/>
    <cellStyle name="40% - Accent2 2 3 5" xfId="1679" xr:uid="{00000000-0005-0000-0000-000079050000}"/>
    <cellStyle name="40% - Accent2 2 3 5 2" xfId="1680" xr:uid="{00000000-0005-0000-0000-00007A050000}"/>
    <cellStyle name="40% - Accent2 2 3 6" xfId="1681" xr:uid="{00000000-0005-0000-0000-00007B050000}"/>
    <cellStyle name="40% - Accent2 2 3 6 2" xfId="1682" xr:uid="{00000000-0005-0000-0000-00007C050000}"/>
    <cellStyle name="40% - Accent2 2 3 7" xfId="1683" xr:uid="{00000000-0005-0000-0000-00007D050000}"/>
    <cellStyle name="40% - Accent2 2 4" xfId="1684" xr:uid="{00000000-0005-0000-0000-00007E050000}"/>
    <cellStyle name="40% - Accent2 2 4 2" xfId="1685" xr:uid="{00000000-0005-0000-0000-00007F050000}"/>
    <cellStyle name="40% - Accent2 2 4 2 2" xfId="1686" xr:uid="{00000000-0005-0000-0000-000080050000}"/>
    <cellStyle name="40% - Accent2 2 4 2 2 2" xfId="1687" xr:uid="{00000000-0005-0000-0000-000081050000}"/>
    <cellStyle name="40% - Accent2 2 4 2 2 2 2" xfId="1688" xr:uid="{00000000-0005-0000-0000-000082050000}"/>
    <cellStyle name="40% - Accent2 2 4 2 2 3" xfId="1689" xr:uid="{00000000-0005-0000-0000-000083050000}"/>
    <cellStyle name="40% - Accent2 2 4 2 2 3 2" xfId="1690" xr:uid="{00000000-0005-0000-0000-000084050000}"/>
    <cellStyle name="40% - Accent2 2 4 2 2 4" xfId="1691" xr:uid="{00000000-0005-0000-0000-000085050000}"/>
    <cellStyle name="40% - Accent2 2 4 2 3" xfId="1692" xr:uid="{00000000-0005-0000-0000-000086050000}"/>
    <cellStyle name="40% - Accent2 2 4 2 3 2" xfId="1693" xr:uid="{00000000-0005-0000-0000-000087050000}"/>
    <cellStyle name="40% - Accent2 2 4 2 3 2 2" xfId="1694" xr:uid="{00000000-0005-0000-0000-000088050000}"/>
    <cellStyle name="40% - Accent2 2 4 2 3 3" xfId="1695" xr:uid="{00000000-0005-0000-0000-000089050000}"/>
    <cellStyle name="40% - Accent2 2 4 2 4" xfId="1696" xr:uid="{00000000-0005-0000-0000-00008A050000}"/>
    <cellStyle name="40% - Accent2 2 4 2 4 2" xfId="1697" xr:uid="{00000000-0005-0000-0000-00008B050000}"/>
    <cellStyle name="40% - Accent2 2 4 2 5" xfId="1698" xr:uid="{00000000-0005-0000-0000-00008C050000}"/>
    <cellStyle name="40% - Accent2 2 4 2 5 2" xfId="1699" xr:uid="{00000000-0005-0000-0000-00008D050000}"/>
    <cellStyle name="40% - Accent2 2 4 2 6" xfId="1700" xr:uid="{00000000-0005-0000-0000-00008E050000}"/>
    <cellStyle name="40% - Accent2 2 4 3" xfId="1701" xr:uid="{00000000-0005-0000-0000-00008F050000}"/>
    <cellStyle name="40% - Accent2 2 4 3 2" xfId="1702" xr:uid="{00000000-0005-0000-0000-000090050000}"/>
    <cellStyle name="40% - Accent2 2 4 3 2 2" xfId="1703" xr:uid="{00000000-0005-0000-0000-000091050000}"/>
    <cellStyle name="40% - Accent2 2 4 3 3" xfId="1704" xr:uid="{00000000-0005-0000-0000-000092050000}"/>
    <cellStyle name="40% - Accent2 2 4 3 3 2" xfId="1705" xr:uid="{00000000-0005-0000-0000-000093050000}"/>
    <cellStyle name="40% - Accent2 2 4 3 4" xfId="1706" xr:uid="{00000000-0005-0000-0000-000094050000}"/>
    <cellStyle name="40% - Accent2 2 4 4" xfId="1707" xr:uid="{00000000-0005-0000-0000-000095050000}"/>
    <cellStyle name="40% - Accent2 2 4 4 2" xfId="1708" xr:uid="{00000000-0005-0000-0000-000096050000}"/>
    <cellStyle name="40% - Accent2 2 4 4 2 2" xfId="1709" xr:uid="{00000000-0005-0000-0000-000097050000}"/>
    <cellStyle name="40% - Accent2 2 4 4 3" xfId="1710" xr:uid="{00000000-0005-0000-0000-000098050000}"/>
    <cellStyle name="40% - Accent2 2 4 5" xfId="1711" xr:uid="{00000000-0005-0000-0000-000099050000}"/>
    <cellStyle name="40% - Accent2 2 4 5 2" xfId="1712" xr:uid="{00000000-0005-0000-0000-00009A050000}"/>
    <cellStyle name="40% - Accent2 2 4 6" xfId="1713" xr:uid="{00000000-0005-0000-0000-00009B050000}"/>
    <cellStyle name="40% - Accent2 2 4 6 2" xfId="1714" xr:uid="{00000000-0005-0000-0000-00009C050000}"/>
    <cellStyle name="40% - Accent2 2 4 7" xfId="1715" xr:uid="{00000000-0005-0000-0000-00009D050000}"/>
    <cellStyle name="40% - Accent2 2 5" xfId="1716" xr:uid="{00000000-0005-0000-0000-00009E050000}"/>
    <cellStyle name="40% - Accent2 2 5 2" xfId="1717" xr:uid="{00000000-0005-0000-0000-00009F050000}"/>
    <cellStyle name="40% - Accent2 2 5 2 2" xfId="1718" xr:uid="{00000000-0005-0000-0000-0000A0050000}"/>
    <cellStyle name="40% - Accent2 2 5 3" xfId="1719" xr:uid="{00000000-0005-0000-0000-0000A1050000}"/>
    <cellStyle name="40% - Accent2 3" xfId="1720" xr:uid="{00000000-0005-0000-0000-0000A2050000}"/>
    <cellStyle name="40% - Accent2 4" xfId="1721" xr:uid="{00000000-0005-0000-0000-0000A3050000}"/>
    <cellStyle name="40% - Accent3 2" xfId="12" xr:uid="{00000000-0005-0000-0000-0000A4050000}"/>
    <cellStyle name="40% - Accent3 2 2" xfId="1722" xr:uid="{00000000-0005-0000-0000-0000A5050000}"/>
    <cellStyle name="40% - Accent3 2 2 2" xfId="1723" xr:uid="{00000000-0005-0000-0000-0000A6050000}"/>
    <cellStyle name="40% - Accent3 2 2 2 2" xfId="1724" xr:uid="{00000000-0005-0000-0000-0000A7050000}"/>
    <cellStyle name="40% - Accent3 2 2 2 2 2" xfId="1725" xr:uid="{00000000-0005-0000-0000-0000A8050000}"/>
    <cellStyle name="40% - Accent3 2 2 2 2 2 2" xfId="1726" xr:uid="{00000000-0005-0000-0000-0000A9050000}"/>
    <cellStyle name="40% - Accent3 2 2 2 2 2 2 2" xfId="1727" xr:uid="{00000000-0005-0000-0000-0000AA050000}"/>
    <cellStyle name="40% - Accent3 2 2 2 2 2 3" xfId="1728" xr:uid="{00000000-0005-0000-0000-0000AB050000}"/>
    <cellStyle name="40% - Accent3 2 2 2 2 2 3 2" xfId="1729" xr:uid="{00000000-0005-0000-0000-0000AC050000}"/>
    <cellStyle name="40% - Accent3 2 2 2 2 2 4" xfId="1730" xr:uid="{00000000-0005-0000-0000-0000AD050000}"/>
    <cellStyle name="40% - Accent3 2 2 2 2 3" xfId="1731" xr:uid="{00000000-0005-0000-0000-0000AE050000}"/>
    <cellStyle name="40% - Accent3 2 2 2 2 3 2" xfId="1732" xr:uid="{00000000-0005-0000-0000-0000AF050000}"/>
    <cellStyle name="40% - Accent3 2 2 2 2 3 2 2" xfId="1733" xr:uid="{00000000-0005-0000-0000-0000B0050000}"/>
    <cellStyle name="40% - Accent3 2 2 2 2 3 3" xfId="1734" xr:uid="{00000000-0005-0000-0000-0000B1050000}"/>
    <cellStyle name="40% - Accent3 2 2 2 2 4" xfId="1735" xr:uid="{00000000-0005-0000-0000-0000B2050000}"/>
    <cellStyle name="40% - Accent3 2 2 2 2 4 2" xfId="1736" xr:uid="{00000000-0005-0000-0000-0000B3050000}"/>
    <cellStyle name="40% - Accent3 2 2 2 2 5" xfId="1737" xr:uid="{00000000-0005-0000-0000-0000B4050000}"/>
    <cellStyle name="40% - Accent3 2 2 2 2 5 2" xfId="1738" xr:uid="{00000000-0005-0000-0000-0000B5050000}"/>
    <cellStyle name="40% - Accent3 2 2 2 2 6" xfId="1739" xr:uid="{00000000-0005-0000-0000-0000B6050000}"/>
    <cellStyle name="40% - Accent3 2 2 2 3" xfId="1740" xr:uid="{00000000-0005-0000-0000-0000B7050000}"/>
    <cellStyle name="40% - Accent3 2 2 2 3 2" xfId="1741" xr:uid="{00000000-0005-0000-0000-0000B8050000}"/>
    <cellStyle name="40% - Accent3 2 2 2 3 2 2" xfId="1742" xr:uid="{00000000-0005-0000-0000-0000B9050000}"/>
    <cellStyle name="40% - Accent3 2 2 2 3 3" xfId="1743" xr:uid="{00000000-0005-0000-0000-0000BA050000}"/>
    <cellStyle name="40% - Accent3 2 2 2 3 3 2" xfId="1744" xr:uid="{00000000-0005-0000-0000-0000BB050000}"/>
    <cellStyle name="40% - Accent3 2 2 2 3 4" xfId="1745" xr:uid="{00000000-0005-0000-0000-0000BC050000}"/>
    <cellStyle name="40% - Accent3 2 2 2 4" xfId="1746" xr:uid="{00000000-0005-0000-0000-0000BD050000}"/>
    <cellStyle name="40% - Accent3 2 2 2 4 2" xfId="1747" xr:uid="{00000000-0005-0000-0000-0000BE050000}"/>
    <cellStyle name="40% - Accent3 2 2 2 4 2 2" xfId="1748" xr:uid="{00000000-0005-0000-0000-0000BF050000}"/>
    <cellStyle name="40% - Accent3 2 2 2 4 3" xfId="1749" xr:uid="{00000000-0005-0000-0000-0000C0050000}"/>
    <cellStyle name="40% - Accent3 2 2 2 5" xfId="1750" xr:uid="{00000000-0005-0000-0000-0000C1050000}"/>
    <cellStyle name="40% - Accent3 2 2 2 5 2" xfId="1751" xr:uid="{00000000-0005-0000-0000-0000C2050000}"/>
    <cellStyle name="40% - Accent3 2 2 2 6" xfId="1752" xr:uid="{00000000-0005-0000-0000-0000C3050000}"/>
    <cellStyle name="40% - Accent3 2 2 2 6 2" xfId="1753" xr:uid="{00000000-0005-0000-0000-0000C4050000}"/>
    <cellStyle name="40% - Accent3 2 2 2 7" xfId="1754" xr:uid="{00000000-0005-0000-0000-0000C5050000}"/>
    <cellStyle name="40% - Accent3 2 2 3" xfId="1755" xr:uid="{00000000-0005-0000-0000-0000C6050000}"/>
    <cellStyle name="40% - Accent3 2 2 3 2" xfId="1756" xr:uid="{00000000-0005-0000-0000-0000C7050000}"/>
    <cellStyle name="40% - Accent3 2 2 3 2 2" xfId="1757" xr:uid="{00000000-0005-0000-0000-0000C8050000}"/>
    <cellStyle name="40% - Accent3 2 2 3 2 2 2" xfId="1758" xr:uid="{00000000-0005-0000-0000-0000C9050000}"/>
    <cellStyle name="40% - Accent3 2 2 3 2 2 2 2" xfId="1759" xr:uid="{00000000-0005-0000-0000-0000CA050000}"/>
    <cellStyle name="40% - Accent3 2 2 3 2 2 3" xfId="1760" xr:uid="{00000000-0005-0000-0000-0000CB050000}"/>
    <cellStyle name="40% - Accent3 2 2 3 2 2 3 2" xfId="1761" xr:uid="{00000000-0005-0000-0000-0000CC050000}"/>
    <cellStyle name="40% - Accent3 2 2 3 2 2 4" xfId="1762" xr:uid="{00000000-0005-0000-0000-0000CD050000}"/>
    <cellStyle name="40% - Accent3 2 2 3 2 3" xfId="1763" xr:uid="{00000000-0005-0000-0000-0000CE050000}"/>
    <cellStyle name="40% - Accent3 2 2 3 2 3 2" xfId="1764" xr:uid="{00000000-0005-0000-0000-0000CF050000}"/>
    <cellStyle name="40% - Accent3 2 2 3 2 3 2 2" xfId="1765" xr:uid="{00000000-0005-0000-0000-0000D0050000}"/>
    <cellStyle name="40% - Accent3 2 2 3 2 3 3" xfId="1766" xr:uid="{00000000-0005-0000-0000-0000D1050000}"/>
    <cellStyle name="40% - Accent3 2 2 3 2 4" xfId="1767" xr:uid="{00000000-0005-0000-0000-0000D2050000}"/>
    <cellStyle name="40% - Accent3 2 2 3 2 4 2" xfId="1768" xr:uid="{00000000-0005-0000-0000-0000D3050000}"/>
    <cellStyle name="40% - Accent3 2 2 3 2 5" xfId="1769" xr:uid="{00000000-0005-0000-0000-0000D4050000}"/>
    <cellStyle name="40% - Accent3 2 2 3 2 5 2" xfId="1770" xr:uid="{00000000-0005-0000-0000-0000D5050000}"/>
    <cellStyle name="40% - Accent3 2 2 3 2 6" xfId="1771" xr:uid="{00000000-0005-0000-0000-0000D6050000}"/>
    <cellStyle name="40% - Accent3 2 2 3 3" xfId="1772" xr:uid="{00000000-0005-0000-0000-0000D7050000}"/>
    <cellStyle name="40% - Accent3 2 2 3 3 2" xfId="1773" xr:uid="{00000000-0005-0000-0000-0000D8050000}"/>
    <cellStyle name="40% - Accent3 2 2 3 3 2 2" xfId="1774" xr:uid="{00000000-0005-0000-0000-0000D9050000}"/>
    <cellStyle name="40% - Accent3 2 2 3 3 3" xfId="1775" xr:uid="{00000000-0005-0000-0000-0000DA050000}"/>
    <cellStyle name="40% - Accent3 2 2 3 3 3 2" xfId="1776" xr:uid="{00000000-0005-0000-0000-0000DB050000}"/>
    <cellStyle name="40% - Accent3 2 2 3 3 4" xfId="1777" xr:uid="{00000000-0005-0000-0000-0000DC050000}"/>
    <cellStyle name="40% - Accent3 2 2 3 4" xfId="1778" xr:uid="{00000000-0005-0000-0000-0000DD050000}"/>
    <cellStyle name="40% - Accent3 2 2 3 4 2" xfId="1779" xr:uid="{00000000-0005-0000-0000-0000DE050000}"/>
    <cellStyle name="40% - Accent3 2 2 3 4 2 2" xfId="1780" xr:uid="{00000000-0005-0000-0000-0000DF050000}"/>
    <cellStyle name="40% - Accent3 2 2 3 4 3" xfId="1781" xr:uid="{00000000-0005-0000-0000-0000E0050000}"/>
    <cellStyle name="40% - Accent3 2 2 3 5" xfId="1782" xr:uid="{00000000-0005-0000-0000-0000E1050000}"/>
    <cellStyle name="40% - Accent3 2 2 3 5 2" xfId="1783" xr:uid="{00000000-0005-0000-0000-0000E2050000}"/>
    <cellStyle name="40% - Accent3 2 2 3 6" xfId="1784" xr:uid="{00000000-0005-0000-0000-0000E3050000}"/>
    <cellStyle name="40% - Accent3 2 2 3 6 2" xfId="1785" xr:uid="{00000000-0005-0000-0000-0000E4050000}"/>
    <cellStyle name="40% - Accent3 2 2 3 7" xfId="1786" xr:uid="{00000000-0005-0000-0000-0000E5050000}"/>
    <cellStyle name="40% - Accent3 2 2 4" xfId="1787" xr:uid="{00000000-0005-0000-0000-0000E6050000}"/>
    <cellStyle name="40% - Accent3 2 2 4 2" xfId="1788" xr:uid="{00000000-0005-0000-0000-0000E7050000}"/>
    <cellStyle name="40% - Accent3 2 2 4 2 2" xfId="1789" xr:uid="{00000000-0005-0000-0000-0000E8050000}"/>
    <cellStyle name="40% - Accent3 2 2 4 2 2 2" xfId="1790" xr:uid="{00000000-0005-0000-0000-0000E9050000}"/>
    <cellStyle name="40% - Accent3 2 2 4 2 3" xfId="1791" xr:uid="{00000000-0005-0000-0000-0000EA050000}"/>
    <cellStyle name="40% - Accent3 2 2 4 2 3 2" xfId="1792" xr:uid="{00000000-0005-0000-0000-0000EB050000}"/>
    <cellStyle name="40% - Accent3 2 2 4 2 4" xfId="1793" xr:uid="{00000000-0005-0000-0000-0000EC050000}"/>
    <cellStyle name="40% - Accent3 2 2 4 3" xfId="1794" xr:uid="{00000000-0005-0000-0000-0000ED050000}"/>
    <cellStyle name="40% - Accent3 2 2 4 3 2" xfId="1795" xr:uid="{00000000-0005-0000-0000-0000EE050000}"/>
    <cellStyle name="40% - Accent3 2 2 4 3 2 2" xfId="1796" xr:uid="{00000000-0005-0000-0000-0000EF050000}"/>
    <cellStyle name="40% - Accent3 2 2 4 3 3" xfId="1797" xr:uid="{00000000-0005-0000-0000-0000F0050000}"/>
    <cellStyle name="40% - Accent3 2 2 4 4" xfId="1798" xr:uid="{00000000-0005-0000-0000-0000F1050000}"/>
    <cellStyle name="40% - Accent3 2 2 4 4 2" xfId="1799" xr:uid="{00000000-0005-0000-0000-0000F2050000}"/>
    <cellStyle name="40% - Accent3 2 2 4 5" xfId="1800" xr:uid="{00000000-0005-0000-0000-0000F3050000}"/>
    <cellStyle name="40% - Accent3 2 2 4 5 2" xfId="1801" xr:uid="{00000000-0005-0000-0000-0000F4050000}"/>
    <cellStyle name="40% - Accent3 2 2 4 6" xfId="1802" xr:uid="{00000000-0005-0000-0000-0000F5050000}"/>
    <cellStyle name="40% - Accent3 2 2 5" xfId="1803" xr:uid="{00000000-0005-0000-0000-0000F6050000}"/>
    <cellStyle name="40% - Accent3 2 2 5 2" xfId="1804" xr:uid="{00000000-0005-0000-0000-0000F7050000}"/>
    <cellStyle name="40% - Accent3 2 2 5 2 2" xfId="1805" xr:uid="{00000000-0005-0000-0000-0000F8050000}"/>
    <cellStyle name="40% - Accent3 2 2 5 3" xfId="1806" xr:uid="{00000000-0005-0000-0000-0000F9050000}"/>
    <cellStyle name="40% - Accent3 2 2 5 3 2" xfId="1807" xr:uid="{00000000-0005-0000-0000-0000FA050000}"/>
    <cellStyle name="40% - Accent3 2 2 5 4" xfId="1808" xr:uid="{00000000-0005-0000-0000-0000FB050000}"/>
    <cellStyle name="40% - Accent3 2 2 6" xfId="1809" xr:uid="{00000000-0005-0000-0000-0000FC050000}"/>
    <cellStyle name="40% - Accent3 2 2 6 2" xfId="1810" xr:uid="{00000000-0005-0000-0000-0000FD050000}"/>
    <cellStyle name="40% - Accent3 2 2 6 2 2" xfId="1811" xr:uid="{00000000-0005-0000-0000-0000FE050000}"/>
    <cellStyle name="40% - Accent3 2 2 6 3" xfId="1812" xr:uid="{00000000-0005-0000-0000-0000FF050000}"/>
    <cellStyle name="40% - Accent3 2 2 7" xfId="1813" xr:uid="{00000000-0005-0000-0000-000000060000}"/>
    <cellStyle name="40% - Accent3 2 2 7 2" xfId="1814" xr:uid="{00000000-0005-0000-0000-000001060000}"/>
    <cellStyle name="40% - Accent3 2 2 8" xfId="1815" xr:uid="{00000000-0005-0000-0000-000002060000}"/>
    <cellStyle name="40% - Accent3 2 2 8 2" xfId="1816" xr:uid="{00000000-0005-0000-0000-000003060000}"/>
    <cellStyle name="40% - Accent3 2 2 9" xfId="1817" xr:uid="{00000000-0005-0000-0000-000004060000}"/>
    <cellStyle name="40% - Accent3 2 3" xfId="1818" xr:uid="{00000000-0005-0000-0000-000005060000}"/>
    <cellStyle name="40% - Accent3 2 3 2" xfId="1819" xr:uid="{00000000-0005-0000-0000-000006060000}"/>
    <cellStyle name="40% - Accent3 2 3 2 2" xfId="1820" xr:uid="{00000000-0005-0000-0000-000007060000}"/>
    <cellStyle name="40% - Accent3 2 3 2 2 2" xfId="1821" xr:uid="{00000000-0005-0000-0000-000008060000}"/>
    <cellStyle name="40% - Accent3 2 3 2 2 2 2" xfId="1822" xr:uid="{00000000-0005-0000-0000-000009060000}"/>
    <cellStyle name="40% - Accent3 2 3 2 2 3" xfId="1823" xr:uid="{00000000-0005-0000-0000-00000A060000}"/>
    <cellStyle name="40% - Accent3 2 3 2 2 3 2" xfId="1824" xr:uid="{00000000-0005-0000-0000-00000B060000}"/>
    <cellStyle name="40% - Accent3 2 3 2 2 4" xfId="1825" xr:uid="{00000000-0005-0000-0000-00000C060000}"/>
    <cellStyle name="40% - Accent3 2 3 2 3" xfId="1826" xr:uid="{00000000-0005-0000-0000-00000D060000}"/>
    <cellStyle name="40% - Accent3 2 3 2 3 2" xfId="1827" xr:uid="{00000000-0005-0000-0000-00000E060000}"/>
    <cellStyle name="40% - Accent3 2 3 2 3 2 2" xfId="1828" xr:uid="{00000000-0005-0000-0000-00000F060000}"/>
    <cellStyle name="40% - Accent3 2 3 2 3 3" xfId="1829" xr:uid="{00000000-0005-0000-0000-000010060000}"/>
    <cellStyle name="40% - Accent3 2 3 2 4" xfId="1830" xr:uid="{00000000-0005-0000-0000-000011060000}"/>
    <cellStyle name="40% - Accent3 2 3 2 4 2" xfId="1831" xr:uid="{00000000-0005-0000-0000-000012060000}"/>
    <cellStyle name="40% - Accent3 2 3 2 5" xfId="1832" xr:uid="{00000000-0005-0000-0000-000013060000}"/>
    <cellStyle name="40% - Accent3 2 3 2 5 2" xfId="1833" xr:uid="{00000000-0005-0000-0000-000014060000}"/>
    <cellStyle name="40% - Accent3 2 3 2 6" xfId="1834" xr:uid="{00000000-0005-0000-0000-000015060000}"/>
    <cellStyle name="40% - Accent3 2 3 3" xfId="1835" xr:uid="{00000000-0005-0000-0000-000016060000}"/>
    <cellStyle name="40% - Accent3 2 3 3 2" xfId="1836" xr:uid="{00000000-0005-0000-0000-000017060000}"/>
    <cellStyle name="40% - Accent3 2 3 3 2 2" xfId="1837" xr:uid="{00000000-0005-0000-0000-000018060000}"/>
    <cellStyle name="40% - Accent3 2 3 3 3" xfId="1838" xr:uid="{00000000-0005-0000-0000-000019060000}"/>
    <cellStyle name="40% - Accent3 2 3 3 3 2" xfId="1839" xr:uid="{00000000-0005-0000-0000-00001A060000}"/>
    <cellStyle name="40% - Accent3 2 3 3 4" xfId="1840" xr:uid="{00000000-0005-0000-0000-00001B060000}"/>
    <cellStyle name="40% - Accent3 2 3 4" xfId="1841" xr:uid="{00000000-0005-0000-0000-00001C060000}"/>
    <cellStyle name="40% - Accent3 2 3 4 2" xfId="1842" xr:uid="{00000000-0005-0000-0000-00001D060000}"/>
    <cellStyle name="40% - Accent3 2 3 4 2 2" xfId="1843" xr:uid="{00000000-0005-0000-0000-00001E060000}"/>
    <cellStyle name="40% - Accent3 2 3 4 3" xfId="1844" xr:uid="{00000000-0005-0000-0000-00001F060000}"/>
    <cellStyle name="40% - Accent3 2 3 5" xfId="1845" xr:uid="{00000000-0005-0000-0000-000020060000}"/>
    <cellStyle name="40% - Accent3 2 3 5 2" xfId="1846" xr:uid="{00000000-0005-0000-0000-000021060000}"/>
    <cellStyle name="40% - Accent3 2 3 6" xfId="1847" xr:uid="{00000000-0005-0000-0000-000022060000}"/>
    <cellStyle name="40% - Accent3 2 3 6 2" xfId="1848" xr:uid="{00000000-0005-0000-0000-000023060000}"/>
    <cellStyle name="40% - Accent3 2 3 7" xfId="1849" xr:uid="{00000000-0005-0000-0000-000024060000}"/>
    <cellStyle name="40% - Accent3 2 4" xfId="1850" xr:uid="{00000000-0005-0000-0000-000025060000}"/>
    <cellStyle name="40% - Accent3 2 4 2" xfId="1851" xr:uid="{00000000-0005-0000-0000-000026060000}"/>
    <cellStyle name="40% - Accent3 2 4 2 2" xfId="1852" xr:uid="{00000000-0005-0000-0000-000027060000}"/>
    <cellStyle name="40% - Accent3 2 4 2 2 2" xfId="1853" xr:uid="{00000000-0005-0000-0000-000028060000}"/>
    <cellStyle name="40% - Accent3 2 4 2 2 2 2" xfId="1854" xr:uid="{00000000-0005-0000-0000-000029060000}"/>
    <cellStyle name="40% - Accent3 2 4 2 2 3" xfId="1855" xr:uid="{00000000-0005-0000-0000-00002A060000}"/>
    <cellStyle name="40% - Accent3 2 4 2 2 3 2" xfId="1856" xr:uid="{00000000-0005-0000-0000-00002B060000}"/>
    <cellStyle name="40% - Accent3 2 4 2 2 4" xfId="1857" xr:uid="{00000000-0005-0000-0000-00002C060000}"/>
    <cellStyle name="40% - Accent3 2 4 2 3" xfId="1858" xr:uid="{00000000-0005-0000-0000-00002D060000}"/>
    <cellStyle name="40% - Accent3 2 4 2 3 2" xfId="1859" xr:uid="{00000000-0005-0000-0000-00002E060000}"/>
    <cellStyle name="40% - Accent3 2 4 2 3 2 2" xfId="1860" xr:uid="{00000000-0005-0000-0000-00002F060000}"/>
    <cellStyle name="40% - Accent3 2 4 2 3 3" xfId="1861" xr:uid="{00000000-0005-0000-0000-000030060000}"/>
    <cellStyle name="40% - Accent3 2 4 2 4" xfId="1862" xr:uid="{00000000-0005-0000-0000-000031060000}"/>
    <cellStyle name="40% - Accent3 2 4 2 4 2" xfId="1863" xr:uid="{00000000-0005-0000-0000-000032060000}"/>
    <cellStyle name="40% - Accent3 2 4 2 5" xfId="1864" xr:uid="{00000000-0005-0000-0000-000033060000}"/>
    <cellStyle name="40% - Accent3 2 4 2 5 2" xfId="1865" xr:uid="{00000000-0005-0000-0000-000034060000}"/>
    <cellStyle name="40% - Accent3 2 4 2 6" xfId="1866" xr:uid="{00000000-0005-0000-0000-000035060000}"/>
    <cellStyle name="40% - Accent3 2 4 3" xfId="1867" xr:uid="{00000000-0005-0000-0000-000036060000}"/>
    <cellStyle name="40% - Accent3 2 4 3 2" xfId="1868" xr:uid="{00000000-0005-0000-0000-000037060000}"/>
    <cellStyle name="40% - Accent3 2 4 3 2 2" xfId="1869" xr:uid="{00000000-0005-0000-0000-000038060000}"/>
    <cellStyle name="40% - Accent3 2 4 3 3" xfId="1870" xr:uid="{00000000-0005-0000-0000-000039060000}"/>
    <cellStyle name="40% - Accent3 2 4 3 3 2" xfId="1871" xr:uid="{00000000-0005-0000-0000-00003A060000}"/>
    <cellStyle name="40% - Accent3 2 4 3 4" xfId="1872" xr:uid="{00000000-0005-0000-0000-00003B060000}"/>
    <cellStyle name="40% - Accent3 2 4 4" xfId="1873" xr:uid="{00000000-0005-0000-0000-00003C060000}"/>
    <cellStyle name="40% - Accent3 2 4 4 2" xfId="1874" xr:uid="{00000000-0005-0000-0000-00003D060000}"/>
    <cellStyle name="40% - Accent3 2 4 4 2 2" xfId="1875" xr:uid="{00000000-0005-0000-0000-00003E060000}"/>
    <cellStyle name="40% - Accent3 2 4 4 3" xfId="1876" xr:uid="{00000000-0005-0000-0000-00003F060000}"/>
    <cellStyle name="40% - Accent3 2 4 5" xfId="1877" xr:uid="{00000000-0005-0000-0000-000040060000}"/>
    <cellStyle name="40% - Accent3 2 4 5 2" xfId="1878" xr:uid="{00000000-0005-0000-0000-000041060000}"/>
    <cellStyle name="40% - Accent3 2 4 6" xfId="1879" xr:uid="{00000000-0005-0000-0000-000042060000}"/>
    <cellStyle name="40% - Accent3 2 4 6 2" xfId="1880" xr:uid="{00000000-0005-0000-0000-000043060000}"/>
    <cellStyle name="40% - Accent3 2 4 7" xfId="1881" xr:uid="{00000000-0005-0000-0000-000044060000}"/>
    <cellStyle name="40% - Accent3 2 5" xfId="1882" xr:uid="{00000000-0005-0000-0000-000045060000}"/>
    <cellStyle name="40% - Accent3 2 5 2" xfId="1883" xr:uid="{00000000-0005-0000-0000-000046060000}"/>
    <cellStyle name="40% - Accent3 2 5 2 2" xfId="1884" xr:uid="{00000000-0005-0000-0000-000047060000}"/>
    <cellStyle name="40% - Accent3 2 5 3" xfId="1885" xr:uid="{00000000-0005-0000-0000-000048060000}"/>
    <cellStyle name="40% - Accent3 3" xfId="1886" xr:uid="{00000000-0005-0000-0000-000049060000}"/>
    <cellStyle name="40% - Accent3 4" xfId="1887" xr:uid="{00000000-0005-0000-0000-00004A060000}"/>
    <cellStyle name="40% - Accent4 2" xfId="13" xr:uid="{00000000-0005-0000-0000-00004B060000}"/>
    <cellStyle name="40% - Accent4 2 2" xfId="1888" xr:uid="{00000000-0005-0000-0000-00004C060000}"/>
    <cellStyle name="40% - Accent4 2 2 2" xfId="1889" xr:uid="{00000000-0005-0000-0000-00004D060000}"/>
    <cellStyle name="40% - Accent4 2 2 2 2" xfId="1890" xr:uid="{00000000-0005-0000-0000-00004E060000}"/>
    <cellStyle name="40% - Accent4 2 2 2 2 2" xfId="1891" xr:uid="{00000000-0005-0000-0000-00004F060000}"/>
    <cellStyle name="40% - Accent4 2 2 2 2 2 2" xfId="1892" xr:uid="{00000000-0005-0000-0000-000050060000}"/>
    <cellStyle name="40% - Accent4 2 2 2 2 2 2 2" xfId="1893" xr:uid="{00000000-0005-0000-0000-000051060000}"/>
    <cellStyle name="40% - Accent4 2 2 2 2 2 3" xfId="1894" xr:uid="{00000000-0005-0000-0000-000052060000}"/>
    <cellStyle name="40% - Accent4 2 2 2 2 2 3 2" xfId="1895" xr:uid="{00000000-0005-0000-0000-000053060000}"/>
    <cellStyle name="40% - Accent4 2 2 2 2 2 4" xfId="1896" xr:uid="{00000000-0005-0000-0000-000054060000}"/>
    <cellStyle name="40% - Accent4 2 2 2 2 3" xfId="1897" xr:uid="{00000000-0005-0000-0000-000055060000}"/>
    <cellStyle name="40% - Accent4 2 2 2 2 3 2" xfId="1898" xr:uid="{00000000-0005-0000-0000-000056060000}"/>
    <cellStyle name="40% - Accent4 2 2 2 2 3 2 2" xfId="1899" xr:uid="{00000000-0005-0000-0000-000057060000}"/>
    <cellStyle name="40% - Accent4 2 2 2 2 3 3" xfId="1900" xr:uid="{00000000-0005-0000-0000-000058060000}"/>
    <cellStyle name="40% - Accent4 2 2 2 2 4" xfId="1901" xr:uid="{00000000-0005-0000-0000-000059060000}"/>
    <cellStyle name="40% - Accent4 2 2 2 2 4 2" xfId="1902" xr:uid="{00000000-0005-0000-0000-00005A060000}"/>
    <cellStyle name="40% - Accent4 2 2 2 2 5" xfId="1903" xr:uid="{00000000-0005-0000-0000-00005B060000}"/>
    <cellStyle name="40% - Accent4 2 2 2 2 5 2" xfId="1904" xr:uid="{00000000-0005-0000-0000-00005C060000}"/>
    <cellStyle name="40% - Accent4 2 2 2 2 6" xfId="1905" xr:uid="{00000000-0005-0000-0000-00005D060000}"/>
    <cellStyle name="40% - Accent4 2 2 2 3" xfId="1906" xr:uid="{00000000-0005-0000-0000-00005E060000}"/>
    <cellStyle name="40% - Accent4 2 2 2 3 2" xfId="1907" xr:uid="{00000000-0005-0000-0000-00005F060000}"/>
    <cellStyle name="40% - Accent4 2 2 2 3 2 2" xfId="1908" xr:uid="{00000000-0005-0000-0000-000060060000}"/>
    <cellStyle name="40% - Accent4 2 2 2 3 3" xfId="1909" xr:uid="{00000000-0005-0000-0000-000061060000}"/>
    <cellStyle name="40% - Accent4 2 2 2 3 3 2" xfId="1910" xr:uid="{00000000-0005-0000-0000-000062060000}"/>
    <cellStyle name="40% - Accent4 2 2 2 3 4" xfId="1911" xr:uid="{00000000-0005-0000-0000-000063060000}"/>
    <cellStyle name="40% - Accent4 2 2 2 4" xfId="1912" xr:uid="{00000000-0005-0000-0000-000064060000}"/>
    <cellStyle name="40% - Accent4 2 2 2 4 2" xfId="1913" xr:uid="{00000000-0005-0000-0000-000065060000}"/>
    <cellStyle name="40% - Accent4 2 2 2 4 2 2" xfId="1914" xr:uid="{00000000-0005-0000-0000-000066060000}"/>
    <cellStyle name="40% - Accent4 2 2 2 4 3" xfId="1915" xr:uid="{00000000-0005-0000-0000-000067060000}"/>
    <cellStyle name="40% - Accent4 2 2 2 5" xfId="1916" xr:uid="{00000000-0005-0000-0000-000068060000}"/>
    <cellStyle name="40% - Accent4 2 2 2 5 2" xfId="1917" xr:uid="{00000000-0005-0000-0000-000069060000}"/>
    <cellStyle name="40% - Accent4 2 2 2 6" xfId="1918" xr:uid="{00000000-0005-0000-0000-00006A060000}"/>
    <cellStyle name="40% - Accent4 2 2 2 6 2" xfId="1919" xr:uid="{00000000-0005-0000-0000-00006B060000}"/>
    <cellStyle name="40% - Accent4 2 2 2 7" xfId="1920" xr:uid="{00000000-0005-0000-0000-00006C060000}"/>
    <cellStyle name="40% - Accent4 2 2 3" xfId="1921" xr:uid="{00000000-0005-0000-0000-00006D060000}"/>
    <cellStyle name="40% - Accent4 2 2 3 2" xfId="1922" xr:uid="{00000000-0005-0000-0000-00006E060000}"/>
    <cellStyle name="40% - Accent4 2 2 3 2 2" xfId="1923" xr:uid="{00000000-0005-0000-0000-00006F060000}"/>
    <cellStyle name="40% - Accent4 2 2 3 2 2 2" xfId="1924" xr:uid="{00000000-0005-0000-0000-000070060000}"/>
    <cellStyle name="40% - Accent4 2 2 3 2 2 2 2" xfId="1925" xr:uid="{00000000-0005-0000-0000-000071060000}"/>
    <cellStyle name="40% - Accent4 2 2 3 2 2 3" xfId="1926" xr:uid="{00000000-0005-0000-0000-000072060000}"/>
    <cellStyle name="40% - Accent4 2 2 3 2 2 3 2" xfId="1927" xr:uid="{00000000-0005-0000-0000-000073060000}"/>
    <cellStyle name="40% - Accent4 2 2 3 2 2 4" xfId="1928" xr:uid="{00000000-0005-0000-0000-000074060000}"/>
    <cellStyle name="40% - Accent4 2 2 3 2 3" xfId="1929" xr:uid="{00000000-0005-0000-0000-000075060000}"/>
    <cellStyle name="40% - Accent4 2 2 3 2 3 2" xfId="1930" xr:uid="{00000000-0005-0000-0000-000076060000}"/>
    <cellStyle name="40% - Accent4 2 2 3 2 3 2 2" xfId="1931" xr:uid="{00000000-0005-0000-0000-000077060000}"/>
    <cellStyle name="40% - Accent4 2 2 3 2 3 3" xfId="1932" xr:uid="{00000000-0005-0000-0000-000078060000}"/>
    <cellStyle name="40% - Accent4 2 2 3 2 4" xfId="1933" xr:uid="{00000000-0005-0000-0000-000079060000}"/>
    <cellStyle name="40% - Accent4 2 2 3 2 4 2" xfId="1934" xr:uid="{00000000-0005-0000-0000-00007A060000}"/>
    <cellStyle name="40% - Accent4 2 2 3 2 5" xfId="1935" xr:uid="{00000000-0005-0000-0000-00007B060000}"/>
    <cellStyle name="40% - Accent4 2 2 3 2 5 2" xfId="1936" xr:uid="{00000000-0005-0000-0000-00007C060000}"/>
    <cellStyle name="40% - Accent4 2 2 3 2 6" xfId="1937" xr:uid="{00000000-0005-0000-0000-00007D060000}"/>
    <cellStyle name="40% - Accent4 2 2 3 3" xfId="1938" xr:uid="{00000000-0005-0000-0000-00007E060000}"/>
    <cellStyle name="40% - Accent4 2 2 3 3 2" xfId="1939" xr:uid="{00000000-0005-0000-0000-00007F060000}"/>
    <cellStyle name="40% - Accent4 2 2 3 3 2 2" xfId="1940" xr:uid="{00000000-0005-0000-0000-000080060000}"/>
    <cellStyle name="40% - Accent4 2 2 3 3 3" xfId="1941" xr:uid="{00000000-0005-0000-0000-000081060000}"/>
    <cellStyle name="40% - Accent4 2 2 3 3 3 2" xfId="1942" xr:uid="{00000000-0005-0000-0000-000082060000}"/>
    <cellStyle name="40% - Accent4 2 2 3 3 4" xfId="1943" xr:uid="{00000000-0005-0000-0000-000083060000}"/>
    <cellStyle name="40% - Accent4 2 2 3 4" xfId="1944" xr:uid="{00000000-0005-0000-0000-000084060000}"/>
    <cellStyle name="40% - Accent4 2 2 3 4 2" xfId="1945" xr:uid="{00000000-0005-0000-0000-000085060000}"/>
    <cellStyle name="40% - Accent4 2 2 3 4 2 2" xfId="1946" xr:uid="{00000000-0005-0000-0000-000086060000}"/>
    <cellStyle name="40% - Accent4 2 2 3 4 3" xfId="1947" xr:uid="{00000000-0005-0000-0000-000087060000}"/>
    <cellStyle name="40% - Accent4 2 2 3 5" xfId="1948" xr:uid="{00000000-0005-0000-0000-000088060000}"/>
    <cellStyle name="40% - Accent4 2 2 3 5 2" xfId="1949" xr:uid="{00000000-0005-0000-0000-000089060000}"/>
    <cellStyle name="40% - Accent4 2 2 3 6" xfId="1950" xr:uid="{00000000-0005-0000-0000-00008A060000}"/>
    <cellStyle name="40% - Accent4 2 2 3 6 2" xfId="1951" xr:uid="{00000000-0005-0000-0000-00008B060000}"/>
    <cellStyle name="40% - Accent4 2 2 3 7" xfId="1952" xr:uid="{00000000-0005-0000-0000-00008C060000}"/>
    <cellStyle name="40% - Accent4 2 2 4" xfId="1953" xr:uid="{00000000-0005-0000-0000-00008D060000}"/>
    <cellStyle name="40% - Accent4 2 2 4 2" xfId="1954" xr:uid="{00000000-0005-0000-0000-00008E060000}"/>
    <cellStyle name="40% - Accent4 2 2 4 2 2" xfId="1955" xr:uid="{00000000-0005-0000-0000-00008F060000}"/>
    <cellStyle name="40% - Accent4 2 2 4 2 2 2" xfId="1956" xr:uid="{00000000-0005-0000-0000-000090060000}"/>
    <cellStyle name="40% - Accent4 2 2 4 2 3" xfId="1957" xr:uid="{00000000-0005-0000-0000-000091060000}"/>
    <cellStyle name="40% - Accent4 2 2 4 2 3 2" xfId="1958" xr:uid="{00000000-0005-0000-0000-000092060000}"/>
    <cellStyle name="40% - Accent4 2 2 4 2 4" xfId="1959" xr:uid="{00000000-0005-0000-0000-000093060000}"/>
    <cellStyle name="40% - Accent4 2 2 4 3" xfId="1960" xr:uid="{00000000-0005-0000-0000-000094060000}"/>
    <cellStyle name="40% - Accent4 2 2 4 3 2" xfId="1961" xr:uid="{00000000-0005-0000-0000-000095060000}"/>
    <cellStyle name="40% - Accent4 2 2 4 3 2 2" xfId="1962" xr:uid="{00000000-0005-0000-0000-000096060000}"/>
    <cellStyle name="40% - Accent4 2 2 4 3 3" xfId="1963" xr:uid="{00000000-0005-0000-0000-000097060000}"/>
    <cellStyle name="40% - Accent4 2 2 4 4" xfId="1964" xr:uid="{00000000-0005-0000-0000-000098060000}"/>
    <cellStyle name="40% - Accent4 2 2 4 4 2" xfId="1965" xr:uid="{00000000-0005-0000-0000-000099060000}"/>
    <cellStyle name="40% - Accent4 2 2 4 5" xfId="1966" xr:uid="{00000000-0005-0000-0000-00009A060000}"/>
    <cellStyle name="40% - Accent4 2 2 4 5 2" xfId="1967" xr:uid="{00000000-0005-0000-0000-00009B060000}"/>
    <cellStyle name="40% - Accent4 2 2 4 6" xfId="1968" xr:uid="{00000000-0005-0000-0000-00009C060000}"/>
    <cellStyle name="40% - Accent4 2 2 5" xfId="1969" xr:uid="{00000000-0005-0000-0000-00009D060000}"/>
    <cellStyle name="40% - Accent4 2 2 5 2" xfId="1970" xr:uid="{00000000-0005-0000-0000-00009E060000}"/>
    <cellStyle name="40% - Accent4 2 2 5 2 2" xfId="1971" xr:uid="{00000000-0005-0000-0000-00009F060000}"/>
    <cellStyle name="40% - Accent4 2 2 5 3" xfId="1972" xr:uid="{00000000-0005-0000-0000-0000A0060000}"/>
    <cellStyle name="40% - Accent4 2 2 5 3 2" xfId="1973" xr:uid="{00000000-0005-0000-0000-0000A1060000}"/>
    <cellStyle name="40% - Accent4 2 2 5 4" xfId="1974" xr:uid="{00000000-0005-0000-0000-0000A2060000}"/>
    <cellStyle name="40% - Accent4 2 2 6" xfId="1975" xr:uid="{00000000-0005-0000-0000-0000A3060000}"/>
    <cellStyle name="40% - Accent4 2 2 6 2" xfId="1976" xr:uid="{00000000-0005-0000-0000-0000A4060000}"/>
    <cellStyle name="40% - Accent4 2 2 6 2 2" xfId="1977" xr:uid="{00000000-0005-0000-0000-0000A5060000}"/>
    <cellStyle name="40% - Accent4 2 2 6 3" xfId="1978" xr:uid="{00000000-0005-0000-0000-0000A6060000}"/>
    <cellStyle name="40% - Accent4 2 2 7" xfId="1979" xr:uid="{00000000-0005-0000-0000-0000A7060000}"/>
    <cellStyle name="40% - Accent4 2 2 7 2" xfId="1980" xr:uid="{00000000-0005-0000-0000-0000A8060000}"/>
    <cellStyle name="40% - Accent4 2 2 8" xfId="1981" xr:uid="{00000000-0005-0000-0000-0000A9060000}"/>
    <cellStyle name="40% - Accent4 2 2 8 2" xfId="1982" xr:uid="{00000000-0005-0000-0000-0000AA060000}"/>
    <cellStyle name="40% - Accent4 2 2 9" xfId="1983" xr:uid="{00000000-0005-0000-0000-0000AB060000}"/>
    <cellStyle name="40% - Accent4 2 3" xfId="1984" xr:uid="{00000000-0005-0000-0000-0000AC060000}"/>
    <cellStyle name="40% - Accent4 2 3 2" xfId="1985" xr:uid="{00000000-0005-0000-0000-0000AD060000}"/>
    <cellStyle name="40% - Accent4 2 3 2 2" xfId="1986" xr:uid="{00000000-0005-0000-0000-0000AE060000}"/>
    <cellStyle name="40% - Accent4 2 3 2 2 2" xfId="1987" xr:uid="{00000000-0005-0000-0000-0000AF060000}"/>
    <cellStyle name="40% - Accent4 2 3 2 2 2 2" xfId="1988" xr:uid="{00000000-0005-0000-0000-0000B0060000}"/>
    <cellStyle name="40% - Accent4 2 3 2 2 3" xfId="1989" xr:uid="{00000000-0005-0000-0000-0000B1060000}"/>
    <cellStyle name="40% - Accent4 2 3 2 2 3 2" xfId="1990" xr:uid="{00000000-0005-0000-0000-0000B2060000}"/>
    <cellStyle name="40% - Accent4 2 3 2 2 4" xfId="1991" xr:uid="{00000000-0005-0000-0000-0000B3060000}"/>
    <cellStyle name="40% - Accent4 2 3 2 3" xfId="1992" xr:uid="{00000000-0005-0000-0000-0000B4060000}"/>
    <cellStyle name="40% - Accent4 2 3 2 3 2" xfId="1993" xr:uid="{00000000-0005-0000-0000-0000B5060000}"/>
    <cellStyle name="40% - Accent4 2 3 2 3 2 2" xfId="1994" xr:uid="{00000000-0005-0000-0000-0000B6060000}"/>
    <cellStyle name="40% - Accent4 2 3 2 3 3" xfId="1995" xr:uid="{00000000-0005-0000-0000-0000B7060000}"/>
    <cellStyle name="40% - Accent4 2 3 2 4" xfId="1996" xr:uid="{00000000-0005-0000-0000-0000B8060000}"/>
    <cellStyle name="40% - Accent4 2 3 2 4 2" xfId="1997" xr:uid="{00000000-0005-0000-0000-0000B9060000}"/>
    <cellStyle name="40% - Accent4 2 3 2 5" xfId="1998" xr:uid="{00000000-0005-0000-0000-0000BA060000}"/>
    <cellStyle name="40% - Accent4 2 3 2 5 2" xfId="1999" xr:uid="{00000000-0005-0000-0000-0000BB060000}"/>
    <cellStyle name="40% - Accent4 2 3 2 6" xfId="2000" xr:uid="{00000000-0005-0000-0000-0000BC060000}"/>
    <cellStyle name="40% - Accent4 2 3 3" xfId="2001" xr:uid="{00000000-0005-0000-0000-0000BD060000}"/>
    <cellStyle name="40% - Accent4 2 3 3 2" xfId="2002" xr:uid="{00000000-0005-0000-0000-0000BE060000}"/>
    <cellStyle name="40% - Accent4 2 3 3 2 2" xfId="2003" xr:uid="{00000000-0005-0000-0000-0000BF060000}"/>
    <cellStyle name="40% - Accent4 2 3 3 3" xfId="2004" xr:uid="{00000000-0005-0000-0000-0000C0060000}"/>
    <cellStyle name="40% - Accent4 2 3 3 3 2" xfId="2005" xr:uid="{00000000-0005-0000-0000-0000C1060000}"/>
    <cellStyle name="40% - Accent4 2 3 3 4" xfId="2006" xr:uid="{00000000-0005-0000-0000-0000C2060000}"/>
    <cellStyle name="40% - Accent4 2 3 4" xfId="2007" xr:uid="{00000000-0005-0000-0000-0000C3060000}"/>
    <cellStyle name="40% - Accent4 2 3 4 2" xfId="2008" xr:uid="{00000000-0005-0000-0000-0000C4060000}"/>
    <cellStyle name="40% - Accent4 2 3 4 2 2" xfId="2009" xr:uid="{00000000-0005-0000-0000-0000C5060000}"/>
    <cellStyle name="40% - Accent4 2 3 4 3" xfId="2010" xr:uid="{00000000-0005-0000-0000-0000C6060000}"/>
    <cellStyle name="40% - Accent4 2 3 5" xfId="2011" xr:uid="{00000000-0005-0000-0000-0000C7060000}"/>
    <cellStyle name="40% - Accent4 2 3 5 2" xfId="2012" xr:uid="{00000000-0005-0000-0000-0000C8060000}"/>
    <cellStyle name="40% - Accent4 2 3 6" xfId="2013" xr:uid="{00000000-0005-0000-0000-0000C9060000}"/>
    <cellStyle name="40% - Accent4 2 3 6 2" xfId="2014" xr:uid="{00000000-0005-0000-0000-0000CA060000}"/>
    <cellStyle name="40% - Accent4 2 3 7" xfId="2015" xr:uid="{00000000-0005-0000-0000-0000CB060000}"/>
    <cellStyle name="40% - Accent4 2 4" xfId="2016" xr:uid="{00000000-0005-0000-0000-0000CC060000}"/>
    <cellStyle name="40% - Accent4 2 4 2" xfId="2017" xr:uid="{00000000-0005-0000-0000-0000CD060000}"/>
    <cellStyle name="40% - Accent4 2 4 2 2" xfId="2018" xr:uid="{00000000-0005-0000-0000-0000CE060000}"/>
    <cellStyle name="40% - Accent4 2 4 2 2 2" xfId="2019" xr:uid="{00000000-0005-0000-0000-0000CF060000}"/>
    <cellStyle name="40% - Accent4 2 4 2 2 2 2" xfId="2020" xr:uid="{00000000-0005-0000-0000-0000D0060000}"/>
    <cellStyle name="40% - Accent4 2 4 2 2 3" xfId="2021" xr:uid="{00000000-0005-0000-0000-0000D1060000}"/>
    <cellStyle name="40% - Accent4 2 4 2 2 3 2" xfId="2022" xr:uid="{00000000-0005-0000-0000-0000D2060000}"/>
    <cellStyle name="40% - Accent4 2 4 2 2 4" xfId="2023" xr:uid="{00000000-0005-0000-0000-0000D3060000}"/>
    <cellStyle name="40% - Accent4 2 4 2 3" xfId="2024" xr:uid="{00000000-0005-0000-0000-0000D4060000}"/>
    <cellStyle name="40% - Accent4 2 4 2 3 2" xfId="2025" xr:uid="{00000000-0005-0000-0000-0000D5060000}"/>
    <cellStyle name="40% - Accent4 2 4 2 3 2 2" xfId="2026" xr:uid="{00000000-0005-0000-0000-0000D6060000}"/>
    <cellStyle name="40% - Accent4 2 4 2 3 3" xfId="2027" xr:uid="{00000000-0005-0000-0000-0000D7060000}"/>
    <cellStyle name="40% - Accent4 2 4 2 4" xfId="2028" xr:uid="{00000000-0005-0000-0000-0000D8060000}"/>
    <cellStyle name="40% - Accent4 2 4 2 4 2" xfId="2029" xr:uid="{00000000-0005-0000-0000-0000D9060000}"/>
    <cellStyle name="40% - Accent4 2 4 2 5" xfId="2030" xr:uid="{00000000-0005-0000-0000-0000DA060000}"/>
    <cellStyle name="40% - Accent4 2 4 2 5 2" xfId="2031" xr:uid="{00000000-0005-0000-0000-0000DB060000}"/>
    <cellStyle name="40% - Accent4 2 4 2 6" xfId="2032" xr:uid="{00000000-0005-0000-0000-0000DC060000}"/>
    <cellStyle name="40% - Accent4 2 4 3" xfId="2033" xr:uid="{00000000-0005-0000-0000-0000DD060000}"/>
    <cellStyle name="40% - Accent4 2 4 3 2" xfId="2034" xr:uid="{00000000-0005-0000-0000-0000DE060000}"/>
    <cellStyle name="40% - Accent4 2 4 3 2 2" xfId="2035" xr:uid="{00000000-0005-0000-0000-0000DF060000}"/>
    <cellStyle name="40% - Accent4 2 4 3 3" xfId="2036" xr:uid="{00000000-0005-0000-0000-0000E0060000}"/>
    <cellStyle name="40% - Accent4 2 4 3 3 2" xfId="2037" xr:uid="{00000000-0005-0000-0000-0000E1060000}"/>
    <cellStyle name="40% - Accent4 2 4 3 4" xfId="2038" xr:uid="{00000000-0005-0000-0000-0000E2060000}"/>
    <cellStyle name="40% - Accent4 2 4 4" xfId="2039" xr:uid="{00000000-0005-0000-0000-0000E3060000}"/>
    <cellStyle name="40% - Accent4 2 4 4 2" xfId="2040" xr:uid="{00000000-0005-0000-0000-0000E4060000}"/>
    <cellStyle name="40% - Accent4 2 4 4 2 2" xfId="2041" xr:uid="{00000000-0005-0000-0000-0000E5060000}"/>
    <cellStyle name="40% - Accent4 2 4 4 3" xfId="2042" xr:uid="{00000000-0005-0000-0000-0000E6060000}"/>
    <cellStyle name="40% - Accent4 2 4 5" xfId="2043" xr:uid="{00000000-0005-0000-0000-0000E7060000}"/>
    <cellStyle name="40% - Accent4 2 4 5 2" xfId="2044" xr:uid="{00000000-0005-0000-0000-0000E8060000}"/>
    <cellStyle name="40% - Accent4 2 4 6" xfId="2045" xr:uid="{00000000-0005-0000-0000-0000E9060000}"/>
    <cellStyle name="40% - Accent4 2 4 6 2" xfId="2046" xr:uid="{00000000-0005-0000-0000-0000EA060000}"/>
    <cellStyle name="40% - Accent4 2 4 7" xfId="2047" xr:uid="{00000000-0005-0000-0000-0000EB060000}"/>
    <cellStyle name="40% - Accent4 2 5" xfId="2048" xr:uid="{00000000-0005-0000-0000-0000EC060000}"/>
    <cellStyle name="40% - Accent4 2 5 2" xfId="2049" xr:uid="{00000000-0005-0000-0000-0000ED060000}"/>
    <cellStyle name="40% - Accent4 2 5 2 2" xfId="2050" xr:uid="{00000000-0005-0000-0000-0000EE060000}"/>
    <cellStyle name="40% - Accent4 2 5 3" xfId="2051" xr:uid="{00000000-0005-0000-0000-0000EF060000}"/>
    <cellStyle name="40% - Accent4 3" xfId="2052" xr:uid="{00000000-0005-0000-0000-0000F0060000}"/>
    <cellStyle name="40% - Accent4 4" xfId="2053" xr:uid="{00000000-0005-0000-0000-0000F1060000}"/>
    <cellStyle name="40% - Accent5 2" xfId="14" xr:uid="{00000000-0005-0000-0000-0000F2060000}"/>
    <cellStyle name="40% - Accent5 2 2" xfId="2054" xr:uid="{00000000-0005-0000-0000-0000F3060000}"/>
    <cellStyle name="40% - Accent5 2 2 2" xfId="2055" xr:uid="{00000000-0005-0000-0000-0000F4060000}"/>
    <cellStyle name="40% - Accent5 2 2 2 2" xfId="2056" xr:uid="{00000000-0005-0000-0000-0000F5060000}"/>
    <cellStyle name="40% - Accent5 2 2 2 2 2" xfId="2057" xr:uid="{00000000-0005-0000-0000-0000F6060000}"/>
    <cellStyle name="40% - Accent5 2 2 2 2 2 2" xfId="2058" xr:uid="{00000000-0005-0000-0000-0000F7060000}"/>
    <cellStyle name="40% - Accent5 2 2 2 2 2 2 2" xfId="2059" xr:uid="{00000000-0005-0000-0000-0000F8060000}"/>
    <cellStyle name="40% - Accent5 2 2 2 2 2 3" xfId="2060" xr:uid="{00000000-0005-0000-0000-0000F9060000}"/>
    <cellStyle name="40% - Accent5 2 2 2 2 2 3 2" xfId="2061" xr:uid="{00000000-0005-0000-0000-0000FA060000}"/>
    <cellStyle name="40% - Accent5 2 2 2 2 2 4" xfId="2062" xr:uid="{00000000-0005-0000-0000-0000FB060000}"/>
    <cellStyle name="40% - Accent5 2 2 2 2 3" xfId="2063" xr:uid="{00000000-0005-0000-0000-0000FC060000}"/>
    <cellStyle name="40% - Accent5 2 2 2 2 3 2" xfId="2064" xr:uid="{00000000-0005-0000-0000-0000FD060000}"/>
    <cellStyle name="40% - Accent5 2 2 2 2 3 2 2" xfId="2065" xr:uid="{00000000-0005-0000-0000-0000FE060000}"/>
    <cellStyle name="40% - Accent5 2 2 2 2 3 3" xfId="2066" xr:uid="{00000000-0005-0000-0000-0000FF060000}"/>
    <cellStyle name="40% - Accent5 2 2 2 2 4" xfId="2067" xr:uid="{00000000-0005-0000-0000-000000070000}"/>
    <cellStyle name="40% - Accent5 2 2 2 2 4 2" xfId="2068" xr:uid="{00000000-0005-0000-0000-000001070000}"/>
    <cellStyle name="40% - Accent5 2 2 2 2 5" xfId="2069" xr:uid="{00000000-0005-0000-0000-000002070000}"/>
    <cellStyle name="40% - Accent5 2 2 2 2 5 2" xfId="2070" xr:uid="{00000000-0005-0000-0000-000003070000}"/>
    <cellStyle name="40% - Accent5 2 2 2 2 6" xfId="2071" xr:uid="{00000000-0005-0000-0000-000004070000}"/>
    <cellStyle name="40% - Accent5 2 2 2 3" xfId="2072" xr:uid="{00000000-0005-0000-0000-000005070000}"/>
    <cellStyle name="40% - Accent5 2 2 2 3 2" xfId="2073" xr:uid="{00000000-0005-0000-0000-000006070000}"/>
    <cellStyle name="40% - Accent5 2 2 2 3 2 2" xfId="2074" xr:uid="{00000000-0005-0000-0000-000007070000}"/>
    <cellStyle name="40% - Accent5 2 2 2 3 3" xfId="2075" xr:uid="{00000000-0005-0000-0000-000008070000}"/>
    <cellStyle name="40% - Accent5 2 2 2 3 3 2" xfId="2076" xr:uid="{00000000-0005-0000-0000-000009070000}"/>
    <cellStyle name="40% - Accent5 2 2 2 3 4" xfId="2077" xr:uid="{00000000-0005-0000-0000-00000A070000}"/>
    <cellStyle name="40% - Accent5 2 2 2 4" xfId="2078" xr:uid="{00000000-0005-0000-0000-00000B070000}"/>
    <cellStyle name="40% - Accent5 2 2 2 4 2" xfId="2079" xr:uid="{00000000-0005-0000-0000-00000C070000}"/>
    <cellStyle name="40% - Accent5 2 2 2 4 2 2" xfId="2080" xr:uid="{00000000-0005-0000-0000-00000D070000}"/>
    <cellStyle name="40% - Accent5 2 2 2 4 3" xfId="2081" xr:uid="{00000000-0005-0000-0000-00000E070000}"/>
    <cellStyle name="40% - Accent5 2 2 2 5" xfId="2082" xr:uid="{00000000-0005-0000-0000-00000F070000}"/>
    <cellStyle name="40% - Accent5 2 2 2 5 2" xfId="2083" xr:uid="{00000000-0005-0000-0000-000010070000}"/>
    <cellStyle name="40% - Accent5 2 2 2 6" xfId="2084" xr:uid="{00000000-0005-0000-0000-000011070000}"/>
    <cellStyle name="40% - Accent5 2 2 2 6 2" xfId="2085" xr:uid="{00000000-0005-0000-0000-000012070000}"/>
    <cellStyle name="40% - Accent5 2 2 2 7" xfId="2086" xr:uid="{00000000-0005-0000-0000-000013070000}"/>
    <cellStyle name="40% - Accent5 2 2 3" xfId="2087" xr:uid="{00000000-0005-0000-0000-000014070000}"/>
    <cellStyle name="40% - Accent5 2 2 3 2" xfId="2088" xr:uid="{00000000-0005-0000-0000-000015070000}"/>
    <cellStyle name="40% - Accent5 2 2 3 2 2" xfId="2089" xr:uid="{00000000-0005-0000-0000-000016070000}"/>
    <cellStyle name="40% - Accent5 2 2 3 2 2 2" xfId="2090" xr:uid="{00000000-0005-0000-0000-000017070000}"/>
    <cellStyle name="40% - Accent5 2 2 3 2 2 2 2" xfId="2091" xr:uid="{00000000-0005-0000-0000-000018070000}"/>
    <cellStyle name="40% - Accent5 2 2 3 2 2 3" xfId="2092" xr:uid="{00000000-0005-0000-0000-000019070000}"/>
    <cellStyle name="40% - Accent5 2 2 3 2 2 3 2" xfId="2093" xr:uid="{00000000-0005-0000-0000-00001A070000}"/>
    <cellStyle name="40% - Accent5 2 2 3 2 2 4" xfId="2094" xr:uid="{00000000-0005-0000-0000-00001B070000}"/>
    <cellStyle name="40% - Accent5 2 2 3 2 3" xfId="2095" xr:uid="{00000000-0005-0000-0000-00001C070000}"/>
    <cellStyle name="40% - Accent5 2 2 3 2 3 2" xfId="2096" xr:uid="{00000000-0005-0000-0000-00001D070000}"/>
    <cellStyle name="40% - Accent5 2 2 3 2 3 2 2" xfId="2097" xr:uid="{00000000-0005-0000-0000-00001E070000}"/>
    <cellStyle name="40% - Accent5 2 2 3 2 3 3" xfId="2098" xr:uid="{00000000-0005-0000-0000-00001F070000}"/>
    <cellStyle name="40% - Accent5 2 2 3 2 4" xfId="2099" xr:uid="{00000000-0005-0000-0000-000020070000}"/>
    <cellStyle name="40% - Accent5 2 2 3 2 4 2" xfId="2100" xr:uid="{00000000-0005-0000-0000-000021070000}"/>
    <cellStyle name="40% - Accent5 2 2 3 2 5" xfId="2101" xr:uid="{00000000-0005-0000-0000-000022070000}"/>
    <cellStyle name="40% - Accent5 2 2 3 2 5 2" xfId="2102" xr:uid="{00000000-0005-0000-0000-000023070000}"/>
    <cellStyle name="40% - Accent5 2 2 3 2 6" xfId="2103" xr:uid="{00000000-0005-0000-0000-000024070000}"/>
    <cellStyle name="40% - Accent5 2 2 3 3" xfId="2104" xr:uid="{00000000-0005-0000-0000-000025070000}"/>
    <cellStyle name="40% - Accent5 2 2 3 3 2" xfId="2105" xr:uid="{00000000-0005-0000-0000-000026070000}"/>
    <cellStyle name="40% - Accent5 2 2 3 3 2 2" xfId="2106" xr:uid="{00000000-0005-0000-0000-000027070000}"/>
    <cellStyle name="40% - Accent5 2 2 3 3 3" xfId="2107" xr:uid="{00000000-0005-0000-0000-000028070000}"/>
    <cellStyle name="40% - Accent5 2 2 3 3 3 2" xfId="2108" xr:uid="{00000000-0005-0000-0000-000029070000}"/>
    <cellStyle name="40% - Accent5 2 2 3 3 4" xfId="2109" xr:uid="{00000000-0005-0000-0000-00002A070000}"/>
    <cellStyle name="40% - Accent5 2 2 3 4" xfId="2110" xr:uid="{00000000-0005-0000-0000-00002B070000}"/>
    <cellStyle name="40% - Accent5 2 2 3 4 2" xfId="2111" xr:uid="{00000000-0005-0000-0000-00002C070000}"/>
    <cellStyle name="40% - Accent5 2 2 3 4 2 2" xfId="2112" xr:uid="{00000000-0005-0000-0000-00002D070000}"/>
    <cellStyle name="40% - Accent5 2 2 3 4 3" xfId="2113" xr:uid="{00000000-0005-0000-0000-00002E070000}"/>
    <cellStyle name="40% - Accent5 2 2 3 5" xfId="2114" xr:uid="{00000000-0005-0000-0000-00002F070000}"/>
    <cellStyle name="40% - Accent5 2 2 3 5 2" xfId="2115" xr:uid="{00000000-0005-0000-0000-000030070000}"/>
    <cellStyle name="40% - Accent5 2 2 3 6" xfId="2116" xr:uid="{00000000-0005-0000-0000-000031070000}"/>
    <cellStyle name="40% - Accent5 2 2 3 6 2" xfId="2117" xr:uid="{00000000-0005-0000-0000-000032070000}"/>
    <cellStyle name="40% - Accent5 2 2 3 7" xfId="2118" xr:uid="{00000000-0005-0000-0000-000033070000}"/>
    <cellStyle name="40% - Accent5 2 2 4" xfId="2119" xr:uid="{00000000-0005-0000-0000-000034070000}"/>
    <cellStyle name="40% - Accent5 2 2 4 2" xfId="2120" xr:uid="{00000000-0005-0000-0000-000035070000}"/>
    <cellStyle name="40% - Accent5 2 2 4 2 2" xfId="2121" xr:uid="{00000000-0005-0000-0000-000036070000}"/>
    <cellStyle name="40% - Accent5 2 2 4 2 2 2" xfId="2122" xr:uid="{00000000-0005-0000-0000-000037070000}"/>
    <cellStyle name="40% - Accent5 2 2 4 2 3" xfId="2123" xr:uid="{00000000-0005-0000-0000-000038070000}"/>
    <cellStyle name="40% - Accent5 2 2 4 2 3 2" xfId="2124" xr:uid="{00000000-0005-0000-0000-000039070000}"/>
    <cellStyle name="40% - Accent5 2 2 4 2 4" xfId="2125" xr:uid="{00000000-0005-0000-0000-00003A070000}"/>
    <cellStyle name="40% - Accent5 2 2 4 3" xfId="2126" xr:uid="{00000000-0005-0000-0000-00003B070000}"/>
    <cellStyle name="40% - Accent5 2 2 4 3 2" xfId="2127" xr:uid="{00000000-0005-0000-0000-00003C070000}"/>
    <cellStyle name="40% - Accent5 2 2 4 3 2 2" xfId="2128" xr:uid="{00000000-0005-0000-0000-00003D070000}"/>
    <cellStyle name="40% - Accent5 2 2 4 3 3" xfId="2129" xr:uid="{00000000-0005-0000-0000-00003E070000}"/>
    <cellStyle name="40% - Accent5 2 2 4 4" xfId="2130" xr:uid="{00000000-0005-0000-0000-00003F070000}"/>
    <cellStyle name="40% - Accent5 2 2 4 4 2" xfId="2131" xr:uid="{00000000-0005-0000-0000-000040070000}"/>
    <cellStyle name="40% - Accent5 2 2 4 5" xfId="2132" xr:uid="{00000000-0005-0000-0000-000041070000}"/>
    <cellStyle name="40% - Accent5 2 2 4 5 2" xfId="2133" xr:uid="{00000000-0005-0000-0000-000042070000}"/>
    <cellStyle name="40% - Accent5 2 2 4 6" xfId="2134" xr:uid="{00000000-0005-0000-0000-000043070000}"/>
    <cellStyle name="40% - Accent5 2 2 5" xfId="2135" xr:uid="{00000000-0005-0000-0000-000044070000}"/>
    <cellStyle name="40% - Accent5 2 2 5 2" xfId="2136" xr:uid="{00000000-0005-0000-0000-000045070000}"/>
    <cellStyle name="40% - Accent5 2 2 5 2 2" xfId="2137" xr:uid="{00000000-0005-0000-0000-000046070000}"/>
    <cellStyle name="40% - Accent5 2 2 5 3" xfId="2138" xr:uid="{00000000-0005-0000-0000-000047070000}"/>
    <cellStyle name="40% - Accent5 2 2 5 3 2" xfId="2139" xr:uid="{00000000-0005-0000-0000-000048070000}"/>
    <cellStyle name="40% - Accent5 2 2 5 4" xfId="2140" xr:uid="{00000000-0005-0000-0000-000049070000}"/>
    <cellStyle name="40% - Accent5 2 2 6" xfId="2141" xr:uid="{00000000-0005-0000-0000-00004A070000}"/>
    <cellStyle name="40% - Accent5 2 2 6 2" xfId="2142" xr:uid="{00000000-0005-0000-0000-00004B070000}"/>
    <cellStyle name="40% - Accent5 2 2 6 2 2" xfId="2143" xr:uid="{00000000-0005-0000-0000-00004C070000}"/>
    <cellStyle name="40% - Accent5 2 2 6 3" xfId="2144" xr:uid="{00000000-0005-0000-0000-00004D070000}"/>
    <cellStyle name="40% - Accent5 2 2 7" xfId="2145" xr:uid="{00000000-0005-0000-0000-00004E070000}"/>
    <cellStyle name="40% - Accent5 2 2 7 2" xfId="2146" xr:uid="{00000000-0005-0000-0000-00004F070000}"/>
    <cellStyle name="40% - Accent5 2 2 8" xfId="2147" xr:uid="{00000000-0005-0000-0000-000050070000}"/>
    <cellStyle name="40% - Accent5 2 2 8 2" xfId="2148" xr:uid="{00000000-0005-0000-0000-000051070000}"/>
    <cellStyle name="40% - Accent5 2 2 9" xfId="2149" xr:uid="{00000000-0005-0000-0000-000052070000}"/>
    <cellStyle name="40% - Accent5 2 3" xfId="2150" xr:uid="{00000000-0005-0000-0000-000053070000}"/>
    <cellStyle name="40% - Accent5 2 3 2" xfId="2151" xr:uid="{00000000-0005-0000-0000-000054070000}"/>
    <cellStyle name="40% - Accent5 2 3 2 2" xfId="2152" xr:uid="{00000000-0005-0000-0000-000055070000}"/>
    <cellStyle name="40% - Accent5 2 3 2 2 2" xfId="2153" xr:uid="{00000000-0005-0000-0000-000056070000}"/>
    <cellStyle name="40% - Accent5 2 3 2 2 2 2" xfId="2154" xr:uid="{00000000-0005-0000-0000-000057070000}"/>
    <cellStyle name="40% - Accent5 2 3 2 2 3" xfId="2155" xr:uid="{00000000-0005-0000-0000-000058070000}"/>
    <cellStyle name="40% - Accent5 2 3 2 2 3 2" xfId="2156" xr:uid="{00000000-0005-0000-0000-000059070000}"/>
    <cellStyle name="40% - Accent5 2 3 2 2 4" xfId="2157" xr:uid="{00000000-0005-0000-0000-00005A070000}"/>
    <cellStyle name="40% - Accent5 2 3 2 3" xfId="2158" xr:uid="{00000000-0005-0000-0000-00005B070000}"/>
    <cellStyle name="40% - Accent5 2 3 2 3 2" xfId="2159" xr:uid="{00000000-0005-0000-0000-00005C070000}"/>
    <cellStyle name="40% - Accent5 2 3 2 3 2 2" xfId="2160" xr:uid="{00000000-0005-0000-0000-00005D070000}"/>
    <cellStyle name="40% - Accent5 2 3 2 3 3" xfId="2161" xr:uid="{00000000-0005-0000-0000-00005E070000}"/>
    <cellStyle name="40% - Accent5 2 3 2 4" xfId="2162" xr:uid="{00000000-0005-0000-0000-00005F070000}"/>
    <cellStyle name="40% - Accent5 2 3 2 4 2" xfId="2163" xr:uid="{00000000-0005-0000-0000-000060070000}"/>
    <cellStyle name="40% - Accent5 2 3 2 5" xfId="2164" xr:uid="{00000000-0005-0000-0000-000061070000}"/>
    <cellStyle name="40% - Accent5 2 3 2 5 2" xfId="2165" xr:uid="{00000000-0005-0000-0000-000062070000}"/>
    <cellStyle name="40% - Accent5 2 3 2 6" xfId="2166" xr:uid="{00000000-0005-0000-0000-000063070000}"/>
    <cellStyle name="40% - Accent5 2 3 3" xfId="2167" xr:uid="{00000000-0005-0000-0000-000064070000}"/>
    <cellStyle name="40% - Accent5 2 3 3 2" xfId="2168" xr:uid="{00000000-0005-0000-0000-000065070000}"/>
    <cellStyle name="40% - Accent5 2 3 3 2 2" xfId="2169" xr:uid="{00000000-0005-0000-0000-000066070000}"/>
    <cellStyle name="40% - Accent5 2 3 3 3" xfId="2170" xr:uid="{00000000-0005-0000-0000-000067070000}"/>
    <cellStyle name="40% - Accent5 2 3 3 3 2" xfId="2171" xr:uid="{00000000-0005-0000-0000-000068070000}"/>
    <cellStyle name="40% - Accent5 2 3 3 4" xfId="2172" xr:uid="{00000000-0005-0000-0000-000069070000}"/>
    <cellStyle name="40% - Accent5 2 3 4" xfId="2173" xr:uid="{00000000-0005-0000-0000-00006A070000}"/>
    <cellStyle name="40% - Accent5 2 3 4 2" xfId="2174" xr:uid="{00000000-0005-0000-0000-00006B070000}"/>
    <cellStyle name="40% - Accent5 2 3 4 2 2" xfId="2175" xr:uid="{00000000-0005-0000-0000-00006C070000}"/>
    <cellStyle name="40% - Accent5 2 3 4 3" xfId="2176" xr:uid="{00000000-0005-0000-0000-00006D070000}"/>
    <cellStyle name="40% - Accent5 2 3 5" xfId="2177" xr:uid="{00000000-0005-0000-0000-00006E070000}"/>
    <cellStyle name="40% - Accent5 2 3 5 2" xfId="2178" xr:uid="{00000000-0005-0000-0000-00006F070000}"/>
    <cellStyle name="40% - Accent5 2 3 6" xfId="2179" xr:uid="{00000000-0005-0000-0000-000070070000}"/>
    <cellStyle name="40% - Accent5 2 3 6 2" xfId="2180" xr:uid="{00000000-0005-0000-0000-000071070000}"/>
    <cellStyle name="40% - Accent5 2 3 7" xfId="2181" xr:uid="{00000000-0005-0000-0000-000072070000}"/>
    <cellStyle name="40% - Accent5 2 4" xfId="2182" xr:uid="{00000000-0005-0000-0000-000073070000}"/>
    <cellStyle name="40% - Accent5 2 4 2" xfId="2183" xr:uid="{00000000-0005-0000-0000-000074070000}"/>
    <cellStyle name="40% - Accent5 2 4 2 2" xfId="2184" xr:uid="{00000000-0005-0000-0000-000075070000}"/>
    <cellStyle name="40% - Accent5 2 4 2 2 2" xfId="2185" xr:uid="{00000000-0005-0000-0000-000076070000}"/>
    <cellStyle name="40% - Accent5 2 4 2 2 2 2" xfId="2186" xr:uid="{00000000-0005-0000-0000-000077070000}"/>
    <cellStyle name="40% - Accent5 2 4 2 2 3" xfId="2187" xr:uid="{00000000-0005-0000-0000-000078070000}"/>
    <cellStyle name="40% - Accent5 2 4 2 2 3 2" xfId="2188" xr:uid="{00000000-0005-0000-0000-000079070000}"/>
    <cellStyle name="40% - Accent5 2 4 2 2 4" xfId="2189" xr:uid="{00000000-0005-0000-0000-00007A070000}"/>
    <cellStyle name="40% - Accent5 2 4 2 3" xfId="2190" xr:uid="{00000000-0005-0000-0000-00007B070000}"/>
    <cellStyle name="40% - Accent5 2 4 2 3 2" xfId="2191" xr:uid="{00000000-0005-0000-0000-00007C070000}"/>
    <cellStyle name="40% - Accent5 2 4 2 3 2 2" xfId="2192" xr:uid="{00000000-0005-0000-0000-00007D070000}"/>
    <cellStyle name="40% - Accent5 2 4 2 3 3" xfId="2193" xr:uid="{00000000-0005-0000-0000-00007E070000}"/>
    <cellStyle name="40% - Accent5 2 4 2 4" xfId="2194" xr:uid="{00000000-0005-0000-0000-00007F070000}"/>
    <cellStyle name="40% - Accent5 2 4 2 4 2" xfId="2195" xr:uid="{00000000-0005-0000-0000-000080070000}"/>
    <cellStyle name="40% - Accent5 2 4 2 5" xfId="2196" xr:uid="{00000000-0005-0000-0000-000081070000}"/>
    <cellStyle name="40% - Accent5 2 4 2 5 2" xfId="2197" xr:uid="{00000000-0005-0000-0000-000082070000}"/>
    <cellStyle name="40% - Accent5 2 4 2 6" xfId="2198" xr:uid="{00000000-0005-0000-0000-000083070000}"/>
    <cellStyle name="40% - Accent5 2 4 3" xfId="2199" xr:uid="{00000000-0005-0000-0000-000084070000}"/>
    <cellStyle name="40% - Accent5 2 4 3 2" xfId="2200" xr:uid="{00000000-0005-0000-0000-000085070000}"/>
    <cellStyle name="40% - Accent5 2 4 3 2 2" xfId="2201" xr:uid="{00000000-0005-0000-0000-000086070000}"/>
    <cellStyle name="40% - Accent5 2 4 3 3" xfId="2202" xr:uid="{00000000-0005-0000-0000-000087070000}"/>
    <cellStyle name="40% - Accent5 2 4 3 3 2" xfId="2203" xr:uid="{00000000-0005-0000-0000-000088070000}"/>
    <cellStyle name="40% - Accent5 2 4 3 4" xfId="2204" xr:uid="{00000000-0005-0000-0000-000089070000}"/>
    <cellStyle name="40% - Accent5 2 4 4" xfId="2205" xr:uid="{00000000-0005-0000-0000-00008A070000}"/>
    <cellStyle name="40% - Accent5 2 4 4 2" xfId="2206" xr:uid="{00000000-0005-0000-0000-00008B070000}"/>
    <cellStyle name="40% - Accent5 2 4 4 2 2" xfId="2207" xr:uid="{00000000-0005-0000-0000-00008C070000}"/>
    <cellStyle name="40% - Accent5 2 4 4 3" xfId="2208" xr:uid="{00000000-0005-0000-0000-00008D070000}"/>
    <cellStyle name="40% - Accent5 2 4 5" xfId="2209" xr:uid="{00000000-0005-0000-0000-00008E070000}"/>
    <cellStyle name="40% - Accent5 2 4 5 2" xfId="2210" xr:uid="{00000000-0005-0000-0000-00008F070000}"/>
    <cellStyle name="40% - Accent5 2 4 6" xfId="2211" xr:uid="{00000000-0005-0000-0000-000090070000}"/>
    <cellStyle name="40% - Accent5 2 4 6 2" xfId="2212" xr:uid="{00000000-0005-0000-0000-000091070000}"/>
    <cellStyle name="40% - Accent5 2 4 7" xfId="2213" xr:uid="{00000000-0005-0000-0000-000092070000}"/>
    <cellStyle name="40% - Accent5 2 5" xfId="2214" xr:uid="{00000000-0005-0000-0000-000093070000}"/>
    <cellStyle name="40% - Accent5 2 5 2" xfId="2215" xr:uid="{00000000-0005-0000-0000-000094070000}"/>
    <cellStyle name="40% - Accent5 2 5 2 2" xfId="2216" xr:uid="{00000000-0005-0000-0000-000095070000}"/>
    <cellStyle name="40% - Accent5 2 5 3" xfId="2217" xr:uid="{00000000-0005-0000-0000-000096070000}"/>
    <cellStyle name="40% - Accent5 3" xfId="2218" xr:uid="{00000000-0005-0000-0000-000097070000}"/>
    <cellStyle name="40% - Accent5 4" xfId="2219" xr:uid="{00000000-0005-0000-0000-000098070000}"/>
    <cellStyle name="40% - Accent6 2" xfId="15" xr:uid="{00000000-0005-0000-0000-000099070000}"/>
    <cellStyle name="40% - Accent6 2 2" xfId="2220" xr:uid="{00000000-0005-0000-0000-00009A070000}"/>
    <cellStyle name="40% - Accent6 2 2 2" xfId="2221" xr:uid="{00000000-0005-0000-0000-00009B070000}"/>
    <cellStyle name="40% - Accent6 2 2 2 2" xfId="2222" xr:uid="{00000000-0005-0000-0000-00009C070000}"/>
    <cellStyle name="40% - Accent6 2 2 2 2 2" xfId="2223" xr:uid="{00000000-0005-0000-0000-00009D070000}"/>
    <cellStyle name="40% - Accent6 2 2 2 2 2 2" xfId="2224" xr:uid="{00000000-0005-0000-0000-00009E070000}"/>
    <cellStyle name="40% - Accent6 2 2 2 2 2 2 2" xfId="2225" xr:uid="{00000000-0005-0000-0000-00009F070000}"/>
    <cellStyle name="40% - Accent6 2 2 2 2 2 3" xfId="2226" xr:uid="{00000000-0005-0000-0000-0000A0070000}"/>
    <cellStyle name="40% - Accent6 2 2 2 2 2 3 2" xfId="2227" xr:uid="{00000000-0005-0000-0000-0000A1070000}"/>
    <cellStyle name="40% - Accent6 2 2 2 2 2 4" xfId="2228" xr:uid="{00000000-0005-0000-0000-0000A2070000}"/>
    <cellStyle name="40% - Accent6 2 2 2 2 3" xfId="2229" xr:uid="{00000000-0005-0000-0000-0000A3070000}"/>
    <cellStyle name="40% - Accent6 2 2 2 2 3 2" xfId="2230" xr:uid="{00000000-0005-0000-0000-0000A4070000}"/>
    <cellStyle name="40% - Accent6 2 2 2 2 3 2 2" xfId="2231" xr:uid="{00000000-0005-0000-0000-0000A5070000}"/>
    <cellStyle name="40% - Accent6 2 2 2 2 3 3" xfId="2232" xr:uid="{00000000-0005-0000-0000-0000A6070000}"/>
    <cellStyle name="40% - Accent6 2 2 2 2 4" xfId="2233" xr:uid="{00000000-0005-0000-0000-0000A7070000}"/>
    <cellStyle name="40% - Accent6 2 2 2 2 4 2" xfId="2234" xr:uid="{00000000-0005-0000-0000-0000A8070000}"/>
    <cellStyle name="40% - Accent6 2 2 2 2 5" xfId="2235" xr:uid="{00000000-0005-0000-0000-0000A9070000}"/>
    <cellStyle name="40% - Accent6 2 2 2 2 5 2" xfId="2236" xr:uid="{00000000-0005-0000-0000-0000AA070000}"/>
    <cellStyle name="40% - Accent6 2 2 2 2 6" xfId="2237" xr:uid="{00000000-0005-0000-0000-0000AB070000}"/>
    <cellStyle name="40% - Accent6 2 2 2 3" xfId="2238" xr:uid="{00000000-0005-0000-0000-0000AC070000}"/>
    <cellStyle name="40% - Accent6 2 2 2 3 2" xfId="2239" xr:uid="{00000000-0005-0000-0000-0000AD070000}"/>
    <cellStyle name="40% - Accent6 2 2 2 3 2 2" xfId="2240" xr:uid="{00000000-0005-0000-0000-0000AE070000}"/>
    <cellStyle name="40% - Accent6 2 2 2 3 3" xfId="2241" xr:uid="{00000000-0005-0000-0000-0000AF070000}"/>
    <cellStyle name="40% - Accent6 2 2 2 3 3 2" xfId="2242" xr:uid="{00000000-0005-0000-0000-0000B0070000}"/>
    <cellStyle name="40% - Accent6 2 2 2 3 4" xfId="2243" xr:uid="{00000000-0005-0000-0000-0000B1070000}"/>
    <cellStyle name="40% - Accent6 2 2 2 4" xfId="2244" xr:uid="{00000000-0005-0000-0000-0000B2070000}"/>
    <cellStyle name="40% - Accent6 2 2 2 4 2" xfId="2245" xr:uid="{00000000-0005-0000-0000-0000B3070000}"/>
    <cellStyle name="40% - Accent6 2 2 2 4 2 2" xfId="2246" xr:uid="{00000000-0005-0000-0000-0000B4070000}"/>
    <cellStyle name="40% - Accent6 2 2 2 4 3" xfId="2247" xr:uid="{00000000-0005-0000-0000-0000B5070000}"/>
    <cellStyle name="40% - Accent6 2 2 2 5" xfId="2248" xr:uid="{00000000-0005-0000-0000-0000B6070000}"/>
    <cellStyle name="40% - Accent6 2 2 2 5 2" xfId="2249" xr:uid="{00000000-0005-0000-0000-0000B7070000}"/>
    <cellStyle name="40% - Accent6 2 2 2 6" xfId="2250" xr:uid="{00000000-0005-0000-0000-0000B8070000}"/>
    <cellStyle name="40% - Accent6 2 2 2 6 2" xfId="2251" xr:uid="{00000000-0005-0000-0000-0000B9070000}"/>
    <cellStyle name="40% - Accent6 2 2 2 7" xfId="2252" xr:uid="{00000000-0005-0000-0000-0000BA070000}"/>
    <cellStyle name="40% - Accent6 2 2 3" xfId="2253" xr:uid="{00000000-0005-0000-0000-0000BB070000}"/>
    <cellStyle name="40% - Accent6 2 2 3 2" xfId="2254" xr:uid="{00000000-0005-0000-0000-0000BC070000}"/>
    <cellStyle name="40% - Accent6 2 2 3 2 2" xfId="2255" xr:uid="{00000000-0005-0000-0000-0000BD070000}"/>
    <cellStyle name="40% - Accent6 2 2 3 2 2 2" xfId="2256" xr:uid="{00000000-0005-0000-0000-0000BE070000}"/>
    <cellStyle name="40% - Accent6 2 2 3 2 2 2 2" xfId="2257" xr:uid="{00000000-0005-0000-0000-0000BF070000}"/>
    <cellStyle name="40% - Accent6 2 2 3 2 2 3" xfId="2258" xr:uid="{00000000-0005-0000-0000-0000C0070000}"/>
    <cellStyle name="40% - Accent6 2 2 3 2 2 3 2" xfId="2259" xr:uid="{00000000-0005-0000-0000-0000C1070000}"/>
    <cellStyle name="40% - Accent6 2 2 3 2 2 4" xfId="2260" xr:uid="{00000000-0005-0000-0000-0000C2070000}"/>
    <cellStyle name="40% - Accent6 2 2 3 2 3" xfId="2261" xr:uid="{00000000-0005-0000-0000-0000C3070000}"/>
    <cellStyle name="40% - Accent6 2 2 3 2 3 2" xfId="2262" xr:uid="{00000000-0005-0000-0000-0000C4070000}"/>
    <cellStyle name="40% - Accent6 2 2 3 2 3 2 2" xfId="2263" xr:uid="{00000000-0005-0000-0000-0000C5070000}"/>
    <cellStyle name="40% - Accent6 2 2 3 2 3 3" xfId="2264" xr:uid="{00000000-0005-0000-0000-0000C6070000}"/>
    <cellStyle name="40% - Accent6 2 2 3 2 4" xfId="2265" xr:uid="{00000000-0005-0000-0000-0000C7070000}"/>
    <cellStyle name="40% - Accent6 2 2 3 2 4 2" xfId="2266" xr:uid="{00000000-0005-0000-0000-0000C8070000}"/>
    <cellStyle name="40% - Accent6 2 2 3 2 5" xfId="2267" xr:uid="{00000000-0005-0000-0000-0000C9070000}"/>
    <cellStyle name="40% - Accent6 2 2 3 2 5 2" xfId="2268" xr:uid="{00000000-0005-0000-0000-0000CA070000}"/>
    <cellStyle name="40% - Accent6 2 2 3 2 6" xfId="2269" xr:uid="{00000000-0005-0000-0000-0000CB070000}"/>
    <cellStyle name="40% - Accent6 2 2 3 3" xfId="2270" xr:uid="{00000000-0005-0000-0000-0000CC070000}"/>
    <cellStyle name="40% - Accent6 2 2 3 3 2" xfId="2271" xr:uid="{00000000-0005-0000-0000-0000CD070000}"/>
    <cellStyle name="40% - Accent6 2 2 3 3 2 2" xfId="2272" xr:uid="{00000000-0005-0000-0000-0000CE070000}"/>
    <cellStyle name="40% - Accent6 2 2 3 3 3" xfId="2273" xr:uid="{00000000-0005-0000-0000-0000CF070000}"/>
    <cellStyle name="40% - Accent6 2 2 3 3 3 2" xfId="2274" xr:uid="{00000000-0005-0000-0000-0000D0070000}"/>
    <cellStyle name="40% - Accent6 2 2 3 3 4" xfId="2275" xr:uid="{00000000-0005-0000-0000-0000D1070000}"/>
    <cellStyle name="40% - Accent6 2 2 3 4" xfId="2276" xr:uid="{00000000-0005-0000-0000-0000D2070000}"/>
    <cellStyle name="40% - Accent6 2 2 3 4 2" xfId="2277" xr:uid="{00000000-0005-0000-0000-0000D3070000}"/>
    <cellStyle name="40% - Accent6 2 2 3 4 2 2" xfId="2278" xr:uid="{00000000-0005-0000-0000-0000D4070000}"/>
    <cellStyle name="40% - Accent6 2 2 3 4 3" xfId="2279" xr:uid="{00000000-0005-0000-0000-0000D5070000}"/>
    <cellStyle name="40% - Accent6 2 2 3 5" xfId="2280" xr:uid="{00000000-0005-0000-0000-0000D6070000}"/>
    <cellStyle name="40% - Accent6 2 2 3 5 2" xfId="2281" xr:uid="{00000000-0005-0000-0000-0000D7070000}"/>
    <cellStyle name="40% - Accent6 2 2 3 6" xfId="2282" xr:uid="{00000000-0005-0000-0000-0000D8070000}"/>
    <cellStyle name="40% - Accent6 2 2 3 6 2" xfId="2283" xr:uid="{00000000-0005-0000-0000-0000D9070000}"/>
    <cellStyle name="40% - Accent6 2 2 3 7" xfId="2284" xr:uid="{00000000-0005-0000-0000-0000DA070000}"/>
    <cellStyle name="40% - Accent6 2 2 4" xfId="2285" xr:uid="{00000000-0005-0000-0000-0000DB070000}"/>
    <cellStyle name="40% - Accent6 2 2 4 2" xfId="2286" xr:uid="{00000000-0005-0000-0000-0000DC070000}"/>
    <cellStyle name="40% - Accent6 2 2 4 2 2" xfId="2287" xr:uid="{00000000-0005-0000-0000-0000DD070000}"/>
    <cellStyle name="40% - Accent6 2 2 4 2 2 2" xfId="2288" xr:uid="{00000000-0005-0000-0000-0000DE070000}"/>
    <cellStyle name="40% - Accent6 2 2 4 2 3" xfId="2289" xr:uid="{00000000-0005-0000-0000-0000DF070000}"/>
    <cellStyle name="40% - Accent6 2 2 4 2 3 2" xfId="2290" xr:uid="{00000000-0005-0000-0000-0000E0070000}"/>
    <cellStyle name="40% - Accent6 2 2 4 2 4" xfId="2291" xr:uid="{00000000-0005-0000-0000-0000E1070000}"/>
    <cellStyle name="40% - Accent6 2 2 4 3" xfId="2292" xr:uid="{00000000-0005-0000-0000-0000E2070000}"/>
    <cellStyle name="40% - Accent6 2 2 4 3 2" xfId="2293" xr:uid="{00000000-0005-0000-0000-0000E3070000}"/>
    <cellStyle name="40% - Accent6 2 2 4 3 2 2" xfId="2294" xr:uid="{00000000-0005-0000-0000-0000E4070000}"/>
    <cellStyle name="40% - Accent6 2 2 4 3 3" xfId="2295" xr:uid="{00000000-0005-0000-0000-0000E5070000}"/>
    <cellStyle name="40% - Accent6 2 2 4 4" xfId="2296" xr:uid="{00000000-0005-0000-0000-0000E6070000}"/>
    <cellStyle name="40% - Accent6 2 2 4 4 2" xfId="2297" xr:uid="{00000000-0005-0000-0000-0000E7070000}"/>
    <cellStyle name="40% - Accent6 2 2 4 5" xfId="2298" xr:uid="{00000000-0005-0000-0000-0000E8070000}"/>
    <cellStyle name="40% - Accent6 2 2 4 5 2" xfId="2299" xr:uid="{00000000-0005-0000-0000-0000E9070000}"/>
    <cellStyle name="40% - Accent6 2 2 4 6" xfId="2300" xr:uid="{00000000-0005-0000-0000-0000EA070000}"/>
    <cellStyle name="40% - Accent6 2 2 5" xfId="2301" xr:uid="{00000000-0005-0000-0000-0000EB070000}"/>
    <cellStyle name="40% - Accent6 2 2 5 2" xfId="2302" xr:uid="{00000000-0005-0000-0000-0000EC070000}"/>
    <cellStyle name="40% - Accent6 2 2 5 2 2" xfId="2303" xr:uid="{00000000-0005-0000-0000-0000ED070000}"/>
    <cellStyle name="40% - Accent6 2 2 5 3" xfId="2304" xr:uid="{00000000-0005-0000-0000-0000EE070000}"/>
    <cellStyle name="40% - Accent6 2 2 5 3 2" xfId="2305" xr:uid="{00000000-0005-0000-0000-0000EF070000}"/>
    <cellStyle name="40% - Accent6 2 2 5 4" xfId="2306" xr:uid="{00000000-0005-0000-0000-0000F0070000}"/>
    <cellStyle name="40% - Accent6 2 2 6" xfId="2307" xr:uid="{00000000-0005-0000-0000-0000F1070000}"/>
    <cellStyle name="40% - Accent6 2 2 6 2" xfId="2308" xr:uid="{00000000-0005-0000-0000-0000F2070000}"/>
    <cellStyle name="40% - Accent6 2 2 6 2 2" xfId="2309" xr:uid="{00000000-0005-0000-0000-0000F3070000}"/>
    <cellStyle name="40% - Accent6 2 2 6 3" xfId="2310" xr:uid="{00000000-0005-0000-0000-0000F4070000}"/>
    <cellStyle name="40% - Accent6 2 2 7" xfId="2311" xr:uid="{00000000-0005-0000-0000-0000F5070000}"/>
    <cellStyle name="40% - Accent6 2 2 7 2" xfId="2312" xr:uid="{00000000-0005-0000-0000-0000F6070000}"/>
    <cellStyle name="40% - Accent6 2 2 8" xfId="2313" xr:uid="{00000000-0005-0000-0000-0000F7070000}"/>
    <cellStyle name="40% - Accent6 2 2 8 2" xfId="2314" xr:uid="{00000000-0005-0000-0000-0000F8070000}"/>
    <cellStyle name="40% - Accent6 2 2 9" xfId="2315" xr:uid="{00000000-0005-0000-0000-0000F9070000}"/>
    <cellStyle name="40% - Accent6 2 3" xfId="2316" xr:uid="{00000000-0005-0000-0000-0000FA070000}"/>
    <cellStyle name="40% - Accent6 2 3 2" xfId="2317" xr:uid="{00000000-0005-0000-0000-0000FB070000}"/>
    <cellStyle name="40% - Accent6 2 3 2 2" xfId="2318" xr:uid="{00000000-0005-0000-0000-0000FC070000}"/>
    <cellStyle name="40% - Accent6 2 3 2 2 2" xfId="2319" xr:uid="{00000000-0005-0000-0000-0000FD070000}"/>
    <cellStyle name="40% - Accent6 2 3 2 2 2 2" xfId="2320" xr:uid="{00000000-0005-0000-0000-0000FE070000}"/>
    <cellStyle name="40% - Accent6 2 3 2 2 3" xfId="2321" xr:uid="{00000000-0005-0000-0000-0000FF070000}"/>
    <cellStyle name="40% - Accent6 2 3 2 2 3 2" xfId="2322" xr:uid="{00000000-0005-0000-0000-000000080000}"/>
    <cellStyle name="40% - Accent6 2 3 2 2 4" xfId="2323" xr:uid="{00000000-0005-0000-0000-000001080000}"/>
    <cellStyle name="40% - Accent6 2 3 2 3" xfId="2324" xr:uid="{00000000-0005-0000-0000-000002080000}"/>
    <cellStyle name="40% - Accent6 2 3 2 3 2" xfId="2325" xr:uid="{00000000-0005-0000-0000-000003080000}"/>
    <cellStyle name="40% - Accent6 2 3 2 3 2 2" xfId="2326" xr:uid="{00000000-0005-0000-0000-000004080000}"/>
    <cellStyle name="40% - Accent6 2 3 2 3 3" xfId="2327" xr:uid="{00000000-0005-0000-0000-000005080000}"/>
    <cellStyle name="40% - Accent6 2 3 2 4" xfId="2328" xr:uid="{00000000-0005-0000-0000-000006080000}"/>
    <cellStyle name="40% - Accent6 2 3 2 4 2" xfId="2329" xr:uid="{00000000-0005-0000-0000-000007080000}"/>
    <cellStyle name="40% - Accent6 2 3 2 5" xfId="2330" xr:uid="{00000000-0005-0000-0000-000008080000}"/>
    <cellStyle name="40% - Accent6 2 3 2 5 2" xfId="2331" xr:uid="{00000000-0005-0000-0000-000009080000}"/>
    <cellStyle name="40% - Accent6 2 3 2 6" xfId="2332" xr:uid="{00000000-0005-0000-0000-00000A080000}"/>
    <cellStyle name="40% - Accent6 2 3 3" xfId="2333" xr:uid="{00000000-0005-0000-0000-00000B080000}"/>
    <cellStyle name="40% - Accent6 2 3 3 2" xfId="2334" xr:uid="{00000000-0005-0000-0000-00000C080000}"/>
    <cellStyle name="40% - Accent6 2 3 3 2 2" xfId="2335" xr:uid="{00000000-0005-0000-0000-00000D080000}"/>
    <cellStyle name="40% - Accent6 2 3 3 3" xfId="2336" xr:uid="{00000000-0005-0000-0000-00000E080000}"/>
    <cellStyle name="40% - Accent6 2 3 3 3 2" xfId="2337" xr:uid="{00000000-0005-0000-0000-00000F080000}"/>
    <cellStyle name="40% - Accent6 2 3 3 4" xfId="2338" xr:uid="{00000000-0005-0000-0000-000010080000}"/>
    <cellStyle name="40% - Accent6 2 3 4" xfId="2339" xr:uid="{00000000-0005-0000-0000-000011080000}"/>
    <cellStyle name="40% - Accent6 2 3 4 2" xfId="2340" xr:uid="{00000000-0005-0000-0000-000012080000}"/>
    <cellStyle name="40% - Accent6 2 3 4 2 2" xfId="2341" xr:uid="{00000000-0005-0000-0000-000013080000}"/>
    <cellStyle name="40% - Accent6 2 3 4 3" xfId="2342" xr:uid="{00000000-0005-0000-0000-000014080000}"/>
    <cellStyle name="40% - Accent6 2 3 5" xfId="2343" xr:uid="{00000000-0005-0000-0000-000015080000}"/>
    <cellStyle name="40% - Accent6 2 3 5 2" xfId="2344" xr:uid="{00000000-0005-0000-0000-000016080000}"/>
    <cellStyle name="40% - Accent6 2 3 6" xfId="2345" xr:uid="{00000000-0005-0000-0000-000017080000}"/>
    <cellStyle name="40% - Accent6 2 3 6 2" xfId="2346" xr:uid="{00000000-0005-0000-0000-000018080000}"/>
    <cellStyle name="40% - Accent6 2 3 7" xfId="2347" xr:uid="{00000000-0005-0000-0000-000019080000}"/>
    <cellStyle name="40% - Accent6 2 4" xfId="2348" xr:uid="{00000000-0005-0000-0000-00001A080000}"/>
    <cellStyle name="40% - Accent6 2 4 2" xfId="2349" xr:uid="{00000000-0005-0000-0000-00001B080000}"/>
    <cellStyle name="40% - Accent6 2 4 2 2" xfId="2350" xr:uid="{00000000-0005-0000-0000-00001C080000}"/>
    <cellStyle name="40% - Accent6 2 4 2 2 2" xfId="2351" xr:uid="{00000000-0005-0000-0000-00001D080000}"/>
    <cellStyle name="40% - Accent6 2 4 2 2 2 2" xfId="2352" xr:uid="{00000000-0005-0000-0000-00001E080000}"/>
    <cellStyle name="40% - Accent6 2 4 2 2 3" xfId="2353" xr:uid="{00000000-0005-0000-0000-00001F080000}"/>
    <cellStyle name="40% - Accent6 2 4 2 2 3 2" xfId="2354" xr:uid="{00000000-0005-0000-0000-000020080000}"/>
    <cellStyle name="40% - Accent6 2 4 2 2 4" xfId="2355" xr:uid="{00000000-0005-0000-0000-000021080000}"/>
    <cellStyle name="40% - Accent6 2 4 2 3" xfId="2356" xr:uid="{00000000-0005-0000-0000-000022080000}"/>
    <cellStyle name="40% - Accent6 2 4 2 3 2" xfId="2357" xr:uid="{00000000-0005-0000-0000-000023080000}"/>
    <cellStyle name="40% - Accent6 2 4 2 3 2 2" xfId="2358" xr:uid="{00000000-0005-0000-0000-000024080000}"/>
    <cellStyle name="40% - Accent6 2 4 2 3 3" xfId="2359" xr:uid="{00000000-0005-0000-0000-000025080000}"/>
    <cellStyle name="40% - Accent6 2 4 2 4" xfId="2360" xr:uid="{00000000-0005-0000-0000-000026080000}"/>
    <cellStyle name="40% - Accent6 2 4 2 4 2" xfId="2361" xr:uid="{00000000-0005-0000-0000-000027080000}"/>
    <cellStyle name="40% - Accent6 2 4 2 5" xfId="2362" xr:uid="{00000000-0005-0000-0000-000028080000}"/>
    <cellStyle name="40% - Accent6 2 4 2 5 2" xfId="2363" xr:uid="{00000000-0005-0000-0000-000029080000}"/>
    <cellStyle name="40% - Accent6 2 4 2 6" xfId="2364" xr:uid="{00000000-0005-0000-0000-00002A080000}"/>
    <cellStyle name="40% - Accent6 2 4 3" xfId="2365" xr:uid="{00000000-0005-0000-0000-00002B080000}"/>
    <cellStyle name="40% - Accent6 2 4 3 2" xfId="2366" xr:uid="{00000000-0005-0000-0000-00002C080000}"/>
    <cellStyle name="40% - Accent6 2 4 3 2 2" xfId="2367" xr:uid="{00000000-0005-0000-0000-00002D080000}"/>
    <cellStyle name="40% - Accent6 2 4 3 3" xfId="2368" xr:uid="{00000000-0005-0000-0000-00002E080000}"/>
    <cellStyle name="40% - Accent6 2 4 3 3 2" xfId="2369" xr:uid="{00000000-0005-0000-0000-00002F080000}"/>
    <cellStyle name="40% - Accent6 2 4 3 4" xfId="2370" xr:uid="{00000000-0005-0000-0000-000030080000}"/>
    <cellStyle name="40% - Accent6 2 4 4" xfId="2371" xr:uid="{00000000-0005-0000-0000-000031080000}"/>
    <cellStyle name="40% - Accent6 2 4 4 2" xfId="2372" xr:uid="{00000000-0005-0000-0000-000032080000}"/>
    <cellStyle name="40% - Accent6 2 4 4 2 2" xfId="2373" xr:uid="{00000000-0005-0000-0000-000033080000}"/>
    <cellStyle name="40% - Accent6 2 4 4 3" xfId="2374" xr:uid="{00000000-0005-0000-0000-000034080000}"/>
    <cellStyle name="40% - Accent6 2 4 5" xfId="2375" xr:uid="{00000000-0005-0000-0000-000035080000}"/>
    <cellStyle name="40% - Accent6 2 4 5 2" xfId="2376" xr:uid="{00000000-0005-0000-0000-000036080000}"/>
    <cellStyle name="40% - Accent6 2 4 6" xfId="2377" xr:uid="{00000000-0005-0000-0000-000037080000}"/>
    <cellStyle name="40% - Accent6 2 4 6 2" xfId="2378" xr:uid="{00000000-0005-0000-0000-000038080000}"/>
    <cellStyle name="40% - Accent6 2 4 7" xfId="2379" xr:uid="{00000000-0005-0000-0000-000039080000}"/>
    <cellStyle name="40% - Accent6 2 5" xfId="2380" xr:uid="{00000000-0005-0000-0000-00003A080000}"/>
    <cellStyle name="40% - Accent6 2 5 2" xfId="2381" xr:uid="{00000000-0005-0000-0000-00003B080000}"/>
    <cellStyle name="40% - Accent6 2 5 2 2" xfId="2382" xr:uid="{00000000-0005-0000-0000-00003C080000}"/>
    <cellStyle name="40% - Accent6 2 5 3" xfId="2383" xr:uid="{00000000-0005-0000-0000-00003D080000}"/>
    <cellStyle name="40% - Accent6 3" xfId="2384" xr:uid="{00000000-0005-0000-0000-00003E080000}"/>
    <cellStyle name="40% - Accent6 4" xfId="2385" xr:uid="{00000000-0005-0000-0000-00003F080000}"/>
    <cellStyle name="60% - Accent1 2" xfId="16" xr:uid="{00000000-0005-0000-0000-000040080000}"/>
    <cellStyle name="60% - Accent1 2 2" xfId="2386" xr:uid="{00000000-0005-0000-0000-000041080000}"/>
    <cellStyle name="60% - Accent1 3" xfId="2387" xr:uid="{00000000-0005-0000-0000-000042080000}"/>
    <cellStyle name="60% - Accent1 4" xfId="2388" xr:uid="{00000000-0005-0000-0000-000043080000}"/>
    <cellStyle name="60% - Accent2 2" xfId="17" xr:uid="{00000000-0005-0000-0000-000044080000}"/>
    <cellStyle name="60% - Accent2 2 2" xfId="2389" xr:uid="{00000000-0005-0000-0000-000045080000}"/>
    <cellStyle name="60% - Accent2 3" xfId="2390" xr:uid="{00000000-0005-0000-0000-000046080000}"/>
    <cellStyle name="60% - Accent2 4" xfId="2391" xr:uid="{00000000-0005-0000-0000-000047080000}"/>
    <cellStyle name="60% - Accent3 2" xfId="18" xr:uid="{00000000-0005-0000-0000-000048080000}"/>
    <cellStyle name="60% - Accent3 2 2" xfId="2392" xr:uid="{00000000-0005-0000-0000-000049080000}"/>
    <cellStyle name="60% - Accent3 3" xfId="2393" xr:uid="{00000000-0005-0000-0000-00004A080000}"/>
    <cellStyle name="60% - Accent3 4" xfId="2394" xr:uid="{00000000-0005-0000-0000-00004B080000}"/>
    <cellStyle name="60% - Accent4 2" xfId="19" xr:uid="{00000000-0005-0000-0000-00004C080000}"/>
    <cellStyle name="60% - Accent4 2 2" xfId="2395" xr:uid="{00000000-0005-0000-0000-00004D080000}"/>
    <cellStyle name="60% - Accent4 3" xfId="2396" xr:uid="{00000000-0005-0000-0000-00004E080000}"/>
    <cellStyle name="60% - Accent4 4" xfId="2397" xr:uid="{00000000-0005-0000-0000-00004F080000}"/>
    <cellStyle name="60% - Accent5 2" xfId="20" xr:uid="{00000000-0005-0000-0000-000050080000}"/>
    <cellStyle name="60% - Accent5 2 2" xfId="2398" xr:uid="{00000000-0005-0000-0000-000051080000}"/>
    <cellStyle name="60% - Accent5 3" xfId="2399" xr:uid="{00000000-0005-0000-0000-000052080000}"/>
    <cellStyle name="60% - Accent5 4" xfId="2400" xr:uid="{00000000-0005-0000-0000-000053080000}"/>
    <cellStyle name="60% - Accent6 2" xfId="21" xr:uid="{00000000-0005-0000-0000-000054080000}"/>
    <cellStyle name="60% - Accent6 2 2" xfId="2401" xr:uid="{00000000-0005-0000-0000-000055080000}"/>
    <cellStyle name="60% - Accent6 3" xfId="2402" xr:uid="{00000000-0005-0000-0000-000056080000}"/>
    <cellStyle name="60% - Accent6 4" xfId="2403" xr:uid="{00000000-0005-0000-0000-000057080000}"/>
    <cellStyle name="9" xfId="2404" xr:uid="{00000000-0005-0000-0000-000058080000}"/>
    <cellStyle name="9_Amortization" xfId="2405" xr:uid="{00000000-0005-0000-0000-000059080000}"/>
    <cellStyle name="9_Amortization_Model_1" xfId="2406" xr:uid="{00000000-0005-0000-0000-00005A080000}"/>
    <cellStyle name="9_Amortization_Piedmont Model22" xfId="2407" xr:uid="{00000000-0005-0000-0000-00005B080000}"/>
    <cellStyle name="9_Amortization_stupid_2" xfId="2408" xr:uid="{00000000-0005-0000-0000-00005C080000}"/>
    <cellStyle name="9_Amortization_Xerium Model (Dynamic)" xfId="2409" xr:uid="{00000000-0005-0000-0000-00005D080000}"/>
    <cellStyle name="9_Amortization_Xerium Model (Dynamic)_Gassman Mods26" xfId="2410" xr:uid="{00000000-0005-0000-0000-00005E080000}"/>
    <cellStyle name="9_Model_1" xfId="2411" xr:uid="{00000000-0005-0000-0000-00005F080000}"/>
    <cellStyle name="9_Piedmont Model22" xfId="2412" xr:uid="{00000000-0005-0000-0000-000060080000}"/>
    <cellStyle name="9_stupid_2" xfId="2413" xr:uid="{00000000-0005-0000-0000-000061080000}"/>
    <cellStyle name="9_Xerium Model (Dynamic)" xfId="2414" xr:uid="{00000000-0005-0000-0000-000062080000}"/>
    <cellStyle name="9_Xerium Model (Dynamic)_Gassman Mods26" xfId="2415" xr:uid="{00000000-0005-0000-0000-000063080000}"/>
    <cellStyle name="Accent1 2" xfId="22" xr:uid="{00000000-0005-0000-0000-000064080000}"/>
    <cellStyle name="Accent1 2 2" xfId="2416" xr:uid="{00000000-0005-0000-0000-000065080000}"/>
    <cellStyle name="Accent1 2 2 2" xfId="2417" xr:uid="{00000000-0005-0000-0000-000066080000}"/>
    <cellStyle name="Accent1 2 3" xfId="2418" xr:uid="{00000000-0005-0000-0000-000067080000}"/>
    <cellStyle name="Accent1 3" xfId="2419" xr:uid="{00000000-0005-0000-0000-000068080000}"/>
    <cellStyle name="Accent1 4" xfId="2420" xr:uid="{00000000-0005-0000-0000-000069080000}"/>
    <cellStyle name="Accent2 2" xfId="23" xr:uid="{00000000-0005-0000-0000-00006A080000}"/>
    <cellStyle name="Accent2 2 2" xfId="2421" xr:uid="{00000000-0005-0000-0000-00006B080000}"/>
    <cellStyle name="Accent2 3" xfId="2422" xr:uid="{00000000-0005-0000-0000-00006C080000}"/>
    <cellStyle name="Accent3 2" xfId="24" xr:uid="{00000000-0005-0000-0000-00006D080000}"/>
    <cellStyle name="Accent3 2 2" xfId="2423" xr:uid="{00000000-0005-0000-0000-00006E080000}"/>
    <cellStyle name="Accent3 3" xfId="2424" xr:uid="{00000000-0005-0000-0000-00006F080000}"/>
    <cellStyle name="Accent3 4" xfId="2425" xr:uid="{00000000-0005-0000-0000-000070080000}"/>
    <cellStyle name="Accent4 2" xfId="25" xr:uid="{00000000-0005-0000-0000-000071080000}"/>
    <cellStyle name="Accent4 2 2" xfId="2426" xr:uid="{00000000-0005-0000-0000-000072080000}"/>
    <cellStyle name="Accent4 3" xfId="2427" xr:uid="{00000000-0005-0000-0000-000073080000}"/>
    <cellStyle name="Accent4 4" xfId="2428" xr:uid="{00000000-0005-0000-0000-000074080000}"/>
    <cellStyle name="Accent5 2" xfId="26" xr:uid="{00000000-0005-0000-0000-000075080000}"/>
    <cellStyle name="Accent5 2 2" xfId="2429" xr:uid="{00000000-0005-0000-0000-000076080000}"/>
    <cellStyle name="Accent5 3" xfId="2430" xr:uid="{00000000-0005-0000-0000-000077080000}"/>
    <cellStyle name="Accent6 2" xfId="27" xr:uid="{00000000-0005-0000-0000-000078080000}"/>
    <cellStyle name="Accent6 2 2" xfId="2431" xr:uid="{00000000-0005-0000-0000-000079080000}"/>
    <cellStyle name="Accent6 3" xfId="2432" xr:uid="{00000000-0005-0000-0000-00007A080000}"/>
    <cellStyle name="Accent6 4" xfId="2433" xr:uid="{00000000-0005-0000-0000-00007B080000}"/>
    <cellStyle name="Accounting w/$" xfId="2434" xr:uid="{00000000-0005-0000-0000-00007C080000}"/>
    <cellStyle name="Accounting w/$ Total" xfId="2435" xr:uid="{00000000-0005-0000-0000-00007D080000}"/>
    <cellStyle name="Accounting w/o $" xfId="2436" xr:uid="{00000000-0005-0000-0000-00007E080000}"/>
    <cellStyle name="Acct, 0" xfId="2437" xr:uid="{00000000-0005-0000-0000-00007F080000}"/>
    <cellStyle name="Actual Date" xfId="2438" xr:uid="{00000000-0005-0000-0000-000080080000}"/>
    <cellStyle name="adj_share" xfId="2439" xr:uid="{00000000-0005-0000-0000-000081080000}"/>
    <cellStyle name="Adjusted" xfId="2440" xr:uid="{00000000-0005-0000-0000-000082080000}"/>
    <cellStyle name="ÅëÈ­ [0]_±âÅ¸" xfId="2441" xr:uid="{00000000-0005-0000-0000-000083080000}"/>
    <cellStyle name="ÅëÈ­_±âÅ¸" xfId="2442" xr:uid="{00000000-0005-0000-0000-000084080000}"/>
    <cellStyle name="AFE" xfId="2443" xr:uid="{00000000-0005-0000-0000-000085080000}"/>
    <cellStyle name="Afjusted" xfId="2444" xr:uid="{00000000-0005-0000-0000-000086080000}"/>
    <cellStyle name="After Percent" xfId="2445" xr:uid="{00000000-0005-0000-0000-000087080000}"/>
    <cellStyle name="amount" xfId="2446" xr:uid="{00000000-0005-0000-0000-000088080000}"/>
    <cellStyle name="apex in the pool, need to include if construct to handle -ve construct_x0001__x000f_" xfId="2447" xr:uid="{00000000-0005-0000-0000-000089080000}"/>
    <cellStyle name="APP Blue Column Heading" xfId="2448" xr:uid="{00000000-0005-0000-0000-00008A080000}"/>
    <cellStyle name="APP Blue Merged Column Heading" xfId="2449" xr:uid="{00000000-0005-0000-0000-00008B080000}"/>
    <cellStyle name="APP Column Heading" xfId="2450" xr:uid="{00000000-0005-0000-0000-00008C080000}"/>
    <cellStyle name="APP Gray Shade" xfId="2451" xr:uid="{00000000-0005-0000-0000-00008D080000}"/>
    <cellStyle name="APP Line" xfId="2452" xr:uid="{00000000-0005-0000-0000-00008E080000}"/>
    <cellStyle name="APP Merged Column Heading" xfId="2453" xr:uid="{00000000-0005-0000-0000-00008F080000}"/>
    <cellStyle name="APP Yellow Shade" xfId="2454" xr:uid="{00000000-0005-0000-0000-000090080000}"/>
    <cellStyle name="args.style" xfId="2455" xr:uid="{00000000-0005-0000-0000-000091080000}"/>
    <cellStyle name="Arial 10" xfId="2456" xr:uid="{00000000-0005-0000-0000-000092080000}"/>
    <cellStyle name="Arial 11" xfId="2457" xr:uid="{00000000-0005-0000-0000-000093080000}"/>
    <cellStyle name="Arial 12" xfId="2458" xr:uid="{00000000-0005-0000-0000-000094080000}"/>
    <cellStyle name="Arial 14" xfId="2459" xr:uid="{00000000-0005-0000-0000-000095080000}"/>
    <cellStyle name="Arial 18" xfId="2460" xr:uid="{00000000-0005-0000-0000-000096080000}"/>
    <cellStyle name="Assum,0%" xfId="2461" xr:uid="{00000000-0005-0000-0000-000097080000}"/>
    <cellStyle name="Assum,0% 2" xfId="2462" xr:uid="{00000000-0005-0000-0000-000098080000}"/>
    <cellStyle name="Assum,0% 2 2" xfId="16785" xr:uid="{00000000-0005-0000-0000-000099080000}"/>
    <cellStyle name="Assum,0% 3" xfId="16784" xr:uid="{00000000-0005-0000-0000-00009A080000}"/>
    <cellStyle name="Assum,2" xfId="2463" xr:uid="{00000000-0005-0000-0000-00009B080000}"/>
    <cellStyle name="Assum,2 2" xfId="2464" xr:uid="{00000000-0005-0000-0000-00009C080000}"/>
    <cellStyle name="Assum,2 2 2" xfId="16787" xr:uid="{00000000-0005-0000-0000-00009D080000}"/>
    <cellStyle name="Assum,2 3" xfId="16786" xr:uid="{00000000-0005-0000-0000-00009E080000}"/>
    <cellStyle name="Assum,2%" xfId="2465" xr:uid="{00000000-0005-0000-0000-00009F080000}"/>
    <cellStyle name="Assum,2% 2" xfId="2466" xr:uid="{00000000-0005-0000-0000-0000A0080000}"/>
    <cellStyle name="Assum,2% 2 2" xfId="16789" xr:uid="{00000000-0005-0000-0000-0000A1080000}"/>
    <cellStyle name="Assum,2% 3" xfId="16788" xr:uid="{00000000-0005-0000-0000-0000A2080000}"/>
    <cellStyle name="ÄÞ¸¶ [0]_±âÅ¸" xfId="2467" xr:uid="{00000000-0005-0000-0000-0000A3080000}"/>
    <cellStyle name="ÄÞ¸¶_±âÅ¸" xfId="2468" xr:uid="{00000000-0005-0000-0000-0000A4080000}"/>
    <cellStyle name="Austral." xfId="2469" xr:uid="{00000000-0005-0000-0000-0000A5080000}"/>
    <cellStyle name="Bad 2" xfId="28" xr:uid="{00000000-0005-0000-0000-0000A6080000}"/>
    <cellStyle name="Bad 2 2" xfId="2470" xr:uid="{00000000-0005-0000-0000-0000A7080000}"/>
    <cellStyle name="Bad 3" xfId="2471" xr:uid="{00000000-0005-0000-0000-0000A8080000}"/>
    <cellStyle name="Bad 3 2" xfId="2472" xr:uid="{00000000-0005-0000-0000-0000A9080000}"/>
    <cellStyle name="base" xfId="2473" xr:uid="{00000000-0005-0000-0000-0000AA080000}"/>
    <cellStyle name="Basic" xfId="2474" xr:uid="{00000000-0005-0000-0000-0000AB080000}"/>
    <cellStyle name="Big Text" xfId="2475" xr:uid="{00000000-0005-0000-0000-0000AC080000}"/>
    <cellStyle name="BK Input Cell" xfId="2476" xr:uid="{00000000-0005-0000-0000-0000AD080000}"/>
    <cellStyle name="Black" xfId="2477" xr:uid="{00000000-0005-0000-0000-0000AE080000}"/>
    <cellStyle name="blank" xfId="2478" xr:uid="{00000000-0005-0000-0000-0000AF080000}"/>
    <cellStyle name="Blue" xfId="2479" xr:uid="{00000000-0005-0000-0000-0000B0080000}"/>
    <cellStyle name="Blue Font" xfId="2480" xr:uid="{00000000-0005-0000-0000-0000B1080000}"/>
    <cellStyle name="Blue Titles" xfId="2481" xr:uid="{00000000-0005-0000-0000-0000B2080000}"/>
    <cellStyle name="Blue Titles 2" xfId="16790" xr:uid="{00000000-0005-0000-0000-0000B3080000}"/>
    <cellStyle name="Blue_~7576084" xfId="2482" xr:uid="{00000000-0005-0000-0000-0000B4080000}"/>
    <cellStyle name="Blueback" xfId="2483" xr:uid="{00000000-0005-0000-0000-0000B5080000}"/>
    <cellStyle name="bluenodec" xfId="2484" xr:uid="{00000000-0005-0000-0000-0000B6080000}"/>
    <cellStyle name="bluepercent" xfId="2485" xr:uid="{00000000-0005-0000-0000-0000B7080000}"/>
    <cellStyle name="Body" xfId="2486" xr:uid="{00000000-0005-0000-0000-0000B8080000}"/>
    <cellStyle name="Body text" xfId="2487" xr:uid="{00000000-0005-0000-0000-0000B9080000}"/>
    <cellStyle name="Body_$Dollars" xfId="2488" xr:uid="{00000000-0005-0000-0000-0000BA080000}"/>
    <cellStyle name="Bold" xfId="2489" xr:uid="{00000000-0005-0000-0000-0000BB080000}"/>
    <cellStyle name="Bold Header" xfId="2490" xr:uid="{00000000-0005-0000-0000-0000BC080000}"/>
    <cellStyle name="Bold/Border" xfId="2491" xr:uid="{00000000-0005-0000-0000-0000BD080000}"/>
    <cellStyle name="Border" xfId="2492" xr:uid="{00000000-0005-0000-0000-0000BE080000}"/>
    <cellStyle name="Border 2" xfId="2493" xr:uid="{00000000-0005-0000-0000-0000BF080000}"/>
    <cellStyle name="Border 2 2" xfId="16792" xr:uid="{00000000-0005-0000-0000-0000C0080000}"/>
    <cellStyle name="Border 3" xfId="16791" xr:uid="{00000000-0005-0000-0000-0000C1080000}"/>
    <cellStyle name="Border Heavy" xfId="2494" xr:uid="{00000000-0005-0000-0000-0000C2080000}"/>
    <cellStyle name="Border Thin" xfId="2495" xr:uid="{00000000-0005-0000-0000-0000C3080000}"/>
    <cellStyle name="Border, Bottom" xfId="2496" xr:uid="{00000000-0005-0000-0000-0000C4080000}"/>
    <cellStyle name="Border, Left" xfId="2497" xr:uid="{00000000-0005-0000-0000-0000C5080000}"/>
    <cellStyle name="Border, Right" xfId="2498" xr:uid="{00000000-0005-0000-0000-0000C6080000}"/>
    <cellStyle name="Border, Top" xfId="2499" xr:uid="{00000000-0005-0000-0000-0000C7080000}"/>
    <cellStyle name="Border, Top 2" xfId="2500" xr:uid="{00000000-0005-0000-0000-0000C8080000}"/>
    <cellStyle name="Border, Top 2 2" xfId="16794" xr:uid="{00000000-0005-0000-0000-0000C9080000}"/>
    <cellStyle name="Border, Top 3" xfId="16793" xr:uid="{00000000-0005-0000-0000-0000CA080000}"/>
    <cellStyle name="Border_~7576084" xfId="2501" xr:uid="{00000000-0005-0000-0000-0000CB080000}"/>
    <cellStyle name="Bottom bold border" xfId="2502" xr:uid="{00000000-0005-0000-0000-0000CC080000}"/>
    <cellStyle name="Bottom bold border 2" xfId="2503" xr:uid="{00000000-0005-0000-0000-0000CD080000}"/>
    <cellStyle name="Bottom Edge" xfId="2504" xr:uid="{00000000-0005-0000-0000-0000CE080000}"/>
    <cellStyle name="Bottom single border" xfId="2505" xr:uid="{00000000-0005-0000-0000-0000CF080000}"/>
    <cellStyle name="Box_Small" xfId="2506" xr:uid="{00000000-0005-0000-0000-0000D0080000}"/>
    <cellStyle name="British Pound" xfId="2507" xr:uid="{00000000-0005-0000-0000-0000D1080000}"/>
    <cellStyle name="bullet" xfId="2508" xr:uid="{00000000-0005-0000-0000-0000D2080000}"/>
    <cellStyle name="Bullet [0]" xfId="2509" xr:uid="{00000000-0005-0000-0000-0000D3080000}"/>
    <cellStyle name="Bullet [2]" xfId="2510" xr:uid="{00000000-0005-0000-0000-0000D4080000}"/>
    <cellStyle name="Bullet [4]" xfId="2511" xr:uid="{00000000-0005-0000-0000-0000D5080000}"/>
    <cellStyle name="Bullet_Book1" xfId="2512" xr:uid="{00000000-0005-0000-0000-0000D6080000}"/>
    <cellStyle name="Business Description" xfId="2513" xr:uid="{00000000-0005-0000-0000-0000D7080000}"/>
    <cellStyle name="Ç¥ÁØ_¿ù°£¿ä¾àº¸°í" xfId="2514" xr:uid="{00000000-0005-0000-0000-0000D8080000}"/>
    <cellStyle name="Calc Currency (0)" xfId="29" xr:uid="{00000000-0005-0000-0000-0000D9080000}"/>
    <cellStyle name="Calc Currency (0) 2" xfId="2515" xr:uid="{00000000-0005-0000-0000-0000DA080000}"/>
    <cellStyle name="Calc Currency (2)" xfId="30" xr:uid="{00000000-0005-0000-0000-0000DB080000}"/>
    <cellStyle name="Calc Percent (0)" xfId="31" xr:uid="{00000000-0005-0000-0000-0000DC080000}"/>
    <cellStyle name="Calc Percent (1)" xfId="32" xr:uid="{00000000-0005-0000-0000-0000DD080000}"/>
    <cellStyle name="Calc Percent (2)" xfId="33" xr:uid="{00000000-0005-0000-0000-0000DE080000}"/>
    <cellStyle name="Calc Units (0)" xfId="34" xr:uid="{00000000-0005-0000-0000-0000DF080000}"/>
    <cellStyle name="Calc Units (1)" xfId="35" xr:uid="{00000000-0005-0000-0000-0000E0080000}"/>
    <cellStyle name="Calc Units (2)" xfId="36" xr:uid="{00000000-0005-0000-0000-0000E1080000}"/>
    <cellStyle name="Calculation 2" xfId="37" xr:uid="{00000000-0005-0000-0000-0000E2080000}"/>
    <cellStyle name="Calculation 2 2" xfId="2516" xr:uid="{00000000-0005-0000-0000-0000E3080000}"/>
    <cellStyle name="Calculation 2 3" xfId="2517" xr:uid="{00000000-0005-0000-0000-0000E4080000}"/>
    <cellStyle name="Calculation 3" xfId="2518" xr:uid="{00000000-0005-0000-0000-0000E5080000}"/>
    <cellStyle name="Calculation 4" xfId="2519" xr:uid="{00000000-0005-0000-0000-0000E6080000}"/>
    <cellStyle name="Canada" xfId="2520" xr:uid="{00000000-0005-0000-0000-0000E7080000}"/>
    <cellStyle name="Case" xfId="2521" xr:uid="{00000000-0005-0000-0000-0000E8080000}"/>
    <cellStyle name="category" xfId="2522" xr:uid="{00000000-0005-0000-0000-0000E9080000}"/>
    <cellStyle name="cell1" xfId="2523" xr:uid="{00000000-0005-0000-0000-0000EA080000}"/>
    <cellStyle name="Center" xfId="2524" xr:uid="{00000000-0005-0000-0000-0000EB080000}"/>
    <cellStyle name="Centered Heading" xfId="38" xr:uid="{00000000-0005-0000-0000-0000EC080000}"/>
    <cellStyle name="Cents" xfId="2525" xr:uid="{00000000-0005-0000-0000-0000ED080000}"/>
    <cellStyle name="Ch, Column Header" xfId="2526" xr:uid="{00000000-0005-0000-0000-0000EE080000}"/>
    <cellStyle name="Check Cell 2" xfId="39" xr:uid="{00000000-0005-0000-0000-0000EF080000}"/>
    <cellStyle name="Check Cell 2 2" xfId="2527" xr:uid="{00000000-0005-0000-0000-0000F0080000}"/>
    <cellStyle name="Check Cell 3" xfId="2528" xr:uid="{00000000-0005-0000-0000-0000F1080000}"/>
    <cellStyle name="Check Cell 4" xfId="2529" xr:uid="{00000000-0005-0000-0000-0000F2080000}"/>
    <cellStyle name="Co. Names" xfId="2530" xr:uid="{00000000-0005-0000-0000-0000F3080000}"/>
    <cellStyle name="Co. Names - Bold" xfId="2531" xr:uid="{00000000-0005-0000-0000-0000F4080000}"/>
    <cellStyle name="Co. Names_Tax Rates" xfId="2532" xr:uid="{00000000-0005-0000-0000-0000F5080000}"/>
    <cellStyle name="COL HEADINGS" xfId="2533" xr:uid="{00000000-0005-0000-0000-0000F6080000}"/>
    <cellStyle name="Colhead_left" xfId="2534" xr:uid="{00000000-0005-0000-0000-0000F7080000}"/>
    <cellStyle name="ColHeading" xfId="2535" xr:uid="{00000000-0005-0000-0000-0000F8080000}"/>
    <cellStyle name="Column Heading 2" xfId="2536" xr:uid="{00000000-0005-0000-0000-0000F9080000}"/>
    <cellStyle name="Column Headings - size 11" xfId="2537" xr:uid="{00000000-0005-0000-0000-0000FA080000}"/>
    <cellStyle name="Column_Title" xfId="2538" xr:uid="{00000000-0005-0000-0000-0000FB080000}"/>
    <cellStyle name="ColumnHeading" xfId="2539" xr:uid="{00000000-0005-0000-0000-0000FC080000}"/>
    <cellStyle name="ComD“¬_x0004_1 FY96_97È¸ºñ" xfId="2540" xr:uid="{00000000-0005-0000-0000-0000FD080000}"/>
    <cellStyle name="Comma" xfId="16892" builtinId="3"/>
    <cellStyle name="Comma  - Style1" xfId="2541" xr:uid="{00000000-0005-0000-0000-0000FF080000}"/>
    <cellStyle name="Comma  - Style2" xfId="2542" xr:uid="{00000000-0005-0000-0000-000000090000}"/>
    <cellStyle name="Comma  - Style3" xfId="2543" xr:uid="{00000000-0005-0000-0000-000001090000}"/>
    <cellStyle name="Comma  - Style4" xfId="2544" xr:uid="{00000000-0005-0000-0000-000002090000}"/>
    <cellStyle name="Comma  - Style5" xfId="2545" xr:uid="{00000000-0005-0000-0000-000003090000}"/>
    <cellStyle name="Comma  - Style6" xfId="2546" xr:uid="{00000000-0005-0000-0000-000004090000}"/>
    <cellStyle name="Comma  - Style7" xfId="2547" xr:uid="{00000000-0005-0000-0000-000005090000}"/>
    <cellStyle name="Comma  - Style8" xfId="2548" xr:uid="{00000000-0005-0000-0000-000006090000}"/>
    <cellStyle name="Comma (#,00.00)" xfId="2549" xr:uid="{00000000-0005-0000-0000-000007090000}"/>
    <cellStyle name="Comma (1)" xfId="2550" xr:uid="{00000000-0005-0000-0000-000008090000}"/>
    <cellStyle name="Comma [0] Total" xfId="2551" xr:uid="{00000000-0005-0000-0000-000009090000}"/>
    <cellStyle name="Comma [0] Total 2" xfId="2552" xr:uid="{00000000-0005-0000-0000-00000A090000}"/>
    <cellStyle name="Comma [0] Total 2 2" xfId="16796" xr:uid="{00000000-0005-0000-0000-00000B090000}"/>
    <cellStyle name="Comma [0] Total 3" xfId="16795" xr:uid="{00000000-0005-0000-0000-00000C090000}"/>
    <cellStyle name="Comma [00]" xfId="40" xr:uid="{00000000-0005-0000-0000-00000D090000}"/>
    <cellStyle name="Comma [1]" xfId="2553" xr:uid="{00000000-0005-0000-0000-00000E090000}"/>
    <cellStyle name="Comma [2]" xfId="2554" xr:uid="{00000000-0005-0000-0000-00000F090000}"/>
    <cellStyle name="Comma [2] Total" xfId="2555" xr:uid="{00000000-0005-0000-0000-000010090000}"/>
    <cellStyle name="Comma [2] Total 2" xfId="2556" xr:uid="{00000000-0005-0000-0000-000011090000}"/>
    <cellStyle name="Comma [2] Total 2 2" xfId="16798" xr:uid="{00000000-0005-0000-0000-000012090000}"/>
    <cellStyle name="Comma [2] Total 3" xfId="16797" xr:uid="{00000000-0005-0000-0000-000013090000}"/>
    <cellStyle name="Comma [2]_Book3" xfId="2557" xr:uid="{00000000-0005-0000-0000-000014090000}"/>
    <cellStyle name="Comma [3]" xfId="2558" xr:uid="{00000000-0005-0000-0000-000015090000}"/>
    <cellStyle name="Comma 0" xfId="2559" xr:uid="{00000000-0005-0000-0000-000016090000}"/>
    <cellStyle name="Comma 0*" xfId="2560" xr:uid="{00000000-0005-0000-0000-000017090000}"/>
    <cellStyle name="Comma 0.0" xfId="2561" xr:uid="{00000000-0005-0000-0000-000018090000}"/>
    <cellStyle name="Comma 0.00" xfId="2562" xr:uid="{00000000-0005-0000-0000-000019090000}"/>
    <cellStyle name="Comma 0.000" xfId="2563" xr:uid="{00000000-0005-0000-0000-00001A090000}"/>
    <cellStyle name="Comma 0.0000" xfId="2564" xr:uid="{00000000-0005-0000-0000-00001B090000}"/>
    <cellStyle name="Comma 0_~7002754" xfId="2565" xr:uid="{00000000-0005-0000-0000-00001C090000}"/>
    <cellStyle name="Comma 10" xfId="41" xr:uid="{00000000-0005-0000-0000-00001D090000}"/>
    <cellStyle name="Comma 10 2" xfId="2566" xr:uid="{00000000-0005-0000-0000-00001E090000}"/>
    <cellStyle name="Comma 10 2 2" xfId="2567" xr:uid="{00000000-0005-0000-0000-00001F090000}"/>
    <cellStyle name="Comma 10 3" xfId="2568" xr:uid="{00000000-0005-0000-0000-000020090000}"/>
    <cellStyle name="Comma 100" xfId="2569" xr:uid="{00000000-0005-0000-0000-000021090000}"/>
    <cellStyle name="Comma 100 2" xfId="2570" xr:uid="{00000000-0005-0000-0000-000022090000}"/>
    <cellStyle name="Comma 101" xfId="2571" xr:uid="{00000000-0005-0000-0000-000023090000}"/>
    <cellStyle name="Comma 101 2" xfId="2572" xr:uid="{00000000-0005-0000-0000-000024090000}"/>
    <cellStyle name="Comma 102" xfId="2573" xr:uid="{00000000-0005-0000-0000-000025090000}"/>
    <cellStyle name="Comma 103" xfId="2574" xr:uid="{00000000-0005-0000-0000-000026090000}"/>
    <cellStyle name="Comma 103 2" xfId="2575" xr:uid="{00000000-0005-0000-0000-000027090000}"/>
    <cellStyle name="Comma 103 2 2" xfId="2576" xr:uid="{00000000-0005-0000-0000-000028090000}"/>
    <cellStyle name="Comma 104" xfId="2577" xr:uid="{00000000-0005-0000-0000-000029090000}"/>
    <cellStyle name="Comma 104 2" xfId="2578" xr:uid="{00000000-0005-0000-0000-00002A090000}"/>
    <cellStyle name="Comma 104 2 2" xfId="2579" xr:uid="{00000000-0005-0000-0000-00002B090000}"/>
    <cellStyle name="Comma 105" xfId="2580" xr:uid="{00000000-0005-0000-0000-00002C090000}"/>
    <cellStyle name="Comma 106" xfId="2581" xr:uid="{00000000-0005-0000-0000-00002D090000}"/>
    <cellStyle name="Comma 107" xfId="2582" xr:uid="{00000000-0005-0000-0000-00002E090000}"/>
    <cellStyle name="Comma 108" xfId="2583" xr:uid="{00000000-0005-0000-0000-00002F090000}"/>
    <cellStyle name="Comma 109" xfId="2584" xr:uid="{00000000-0005-0000-0000-000030090000}"/>
    <cellStyle name="Comma 11" xfId="42" xr:uid="{00000000-0005-0000-0000-000031090000}"/>
    <cellStyle name="Comma 11 2" xfId="2585" xr:uid="{00000000-0005-0000-0000-000032090000}"/>
    <cellStyle name="Comma 11 2 2" xfId="2586" xr:uid="{00000000-0005-0000-0000-000033090000}"/>
    <cellStyle name="Comma 11 2 2 2" xfId="2587" xr:uid="{00000000-0005-0000-0000-000034090000}"/>
    <cellStyle name="Comma 11 2 2 2 2" xfId="2588" xr:uid="{00000000-0005-0000-0000-000035090000}"/>
    <cellStyle name="Comma 11 2 2 2 2 2" xfId="2589" xr:uid="{00000000-0005-0000-0000-000036090000}"/>
    <cellStyle name="Comma 11 2 2 2 2 2 2" xfId="2590" xr:uid="{00000000-0005-0000-0000-000037090000}"/>
    <cellStyle name="Comma 11 2 2 2 2 3" xfId="2591" xr:uid="{00000000-0005-0000-0000-000038090000}"/>
    <cellStyle name="Comma 11 2 2 2 2 3 2" xfId="2592" xr:uid="{00000000-0005-0000-0000-000039090000}"/>
    <cellStyle name="Comma 11 2 2 2 2 4" xfId="2593" xr:uid="{00000000-0005-0000-0000-00003A090000}"/>
    <cellStyle name="Comma 11 2 2 2 3" xfId="2594" xr:uid="{00000000-0005-0000-0000-00003B090000}"/>
    <cellStyle name="Comma 11 2 2 2 3 2" xfId="2595" xr:uid="{00000000-0005-0000-0000-00003C090000}"/>
    <cellStyle name="Comma 11 2 2 2 3 2 2" xfId="2596" xr:uid="{00000000-0005-0000-0000-00003D090000}"/>
    <cellStyle name="Comma 11 2 2 2 3 3" xfId="2597" xr:uid="{00000000-0005-0000-0000-00003E090000}"/>
    <cellStyle name="Comma 11 2 2 2 4" xfId="2598" xr:uid="{00000000-0005-0000-0000-00003F090000}"/>
    <cellStyle name="Comma 11 2 2 2 4 2" xfId="2599" xr:uid="{00000000-0005-0000-0000-000040090000}"/>
    <cellStyle name="Comma 11 2 2 2 5" xfId="2600" xr:uid="{00000000-0005-0000-0000-000041090000}"/>
    <cellStyle name="Comma 11 2 2 2 5 2" xfId="2601" xr:uid="{00000000-0005-0000-0000-000042090000}"/>
    <cellStyle name="Comma 11 2 2 2 6" xfId="2602" xr:uid="{00000000-0005-0000-0000-000043090000}"/>
    <cellStyle name="Comma 11 2 2 3" xfId="2603" xr:uid="{00000000-0005-0000-0000-000044090000}"/>
    <cellStyle name="Comma 11 2 2 3 2" xfId="2604" xr:uid="{00000000-0005-0000-0000-000045090000}"/>
    <cellStyle name="Comma 11 2 2 3 2 2" xfId="2605" xr:uid="{00000000-0005-0000-0000-000046090000}"/>
    <cellStyle name="Comma 11 2 2 3 3" xfId="2606" xr:uid="{00000000-0005-0000-0000-000047090000}"/>
    <cellStyle name="Comma 11 2 2 3 3 2" xfId="2607" xr:uid="{00000000-0005-0000-0000-000048090000}"/>
    <cellStyle name="Comma 11 2 2 3 4" xfId="2608" xr:uid="{00000000-0005-0000-0000-000049090000}"/>
    <cellStyle name="Comma 11 2 2 4" xfId="2609" xr:uid="{00000000-0005-0000-0000-00004A090000}"/>
    <cellStyle name="Comma 11 2 2 4 2" xfId="2610" xr:uid="{00000000-0005-0000-0000-00004B090000}"/>
    <cellStyle name="Comma 11 2 2 4 2 2" xfId="2611" xr:uid="{00000000-0005-0000-0000-00004C090000}"/>
    <cellStyle name="Comma 11 2 2 4 3" xfId="2612" xr:uid="{00000000-0005-0000-0000-00004D090000}"/>
    <cellStyle name="Comma 11 2 2 5" xfId="2613" xr:uid="{00000000-0005-0000-0000-00004E090000}"/>
    <cellStyle name="Comma 11 2 2 5 2" xfId="2614" xr:uid="{00000000-0005-0000-0000-00004F090000}"/>
    <cellStyle name="Comma 11 2 2 6" xfId="2615" xr:uid="{00000000-0005-0000-0000-000050090000}"/>
    <cellStyle name="Comma 11 2 2 6 2" xfId="2616" xr:uid="{00000000-0005-0000-0000-000051090000}"/>
    <cellStyle name="Comma 11 2 2 7" xfId="2617" xr:uid="{00000000-0005-0000-0000-000052090000}"/>
    <cellStyle name="Comma 11 2 3" xfId="2618" xr:uid="{00000000-0005-0000-0000-000053090000}"/>
    <cellStyle name="Comma 11 2 3 2" xfId="2619" xr:uid="{00000000-0005-0000-0000-000054090000}"/>
    <cellStyle name="Comma 11 2 3 2 2" xfId="2620" xr:uid="{00000000-0005-0000-0000-000055090000}"/>
    <cellStyle name="Comma 11 2 3 2 2 2" xfId="2621" xr:uid="{00000000-0005-0000-0000-000056090000}"/>
    <cellStyle name="Comma 11 2 3 2 2 2 2" xfId="2622" xr:uid="{00000000-0005-0000-0000-000057090000}"/>
    <cellStyle name="Comma 11 2 3 2 2 3" xfId="2623" xr:uid="{00000000-0005-0000-0000-000058090000}"/>
    <cellStyle name="Comma 11 2 3 2 2 3 2" xfId="2624" xr:uid="{00000000-0005-0000-0000-000059090000}"/>
    <cellStyle name="Comma 11 2 3 2 2 4" xfId="2625" xr:uid="{00000000-0005-0000-0000-00005A090000}"/>
    <cellStyle name="Comma 11 2 3 2 3" xfId="2626" xr:uid="{00000000-0005-0000-0000-00005B090000}"/>
    <cellStyle name="Comma 11 2 3 2 3 2" xfId="2627" xr:uid="{00000000-0005-0000-0000-00005C090000}"/>
    <cellStyle name="Comma 11 2 3 2 3 2 2" xfId="2628" xr:uid="{00000000-0005-0000-0000-00005D090000}"/>
    <cellStyle name="Comma 11 2 3 2 3 3" xfId="2629" xr:uid="{00000000-0005-0000-0000-00005E090000}"/>
    <cellStyle name="Comma 11 2 3 2 4" xfId="2630" xr:uid="{00000000-0005-0000-0000-00005F090000}"/>
    <cellStyle name="Comma 11 2 3 2 4 2" xfId="2631" xr:uid="{00000000-0005-0000-0000-000060090000}"/>
    <cellStyle name="Comma 11 2 3 2 5" xfId="2632" xr:uid="{00000000-0005-0000-0000-000061090000}"/>
    <cellStyle name="Comma 11 2 3 2 5 2" xfId="2633" xr:uid="{00000000-0005-0000-0000-000062090000}"/>
    <cellStyle name="Comma 11 2 3 2 6" xfId="2634" xr:uid="{00000000-0005-0000-0000-000063090000}"/>
    <cellStyle name="Comma 11 2 3 3" xfId="2635" xr:uid="{00000000-0005-0000-0000-000064090000}"/>
    <cellStyle name="Comma 11 2 3 3 2" xfId="2636" xr:uid="{00000000-0005-0000-0000-000065090000}"/>
    <cellStyle name="Comma 11 2 3 3 2 2" xfId="2637" xr:uid="{00000000-0005-0000-0000-000066090000}"/>
    <cellStyle name="Comma 11 2 3 3 3" xfId="2638" xr:uid="{00000000-0005-0000-0000-000067090000}"/>
    <cellStyle name="Comma 11 2 3 3 3 2" xfId="2639" xr:uid="{00000000-0005-0000-0000-000068090000}"/>
    <cellStyle name="Comma 11 2 3 3 4" xfId="2640" xr:uid="{00000000-0005-0000-0000-000069090000}"/>
    <cellStyle name="Comma 11 2 3 4" xfId="2641" xr:uid="{00000000-0005-0000-0000-00006A090000}"/>
    <cellStyle name="Comma 11 2 3 4 2" xfId="2642" xr:uid="{00000000-0005-0000-0000-00006B090000}"/>
    <cellStyle name="Comma 11 2 3 4 2 2" xfId="2643" xr:uid="{00000000-0005-0000-0000-00006C090000}"/>
    <cellStyle name="Comma 11 2 3 4 3" xfId="2644" xr:uid="{00000000-0005-0000-0000-00006D090000}"/>
    <cellStyle name="Comma 11 2 3 5" xfId="2645" xr:uid="{00000000-0005-0000-0000-00006E090000}"/>
    <cellStyle name="Comma 11 2 3 5 2" xfId="2646" xr:uid="{00000000-0005-0000-0000-00006F090000}"/>
    <cellStyle name="Comma 11 2 3 6" xfId="2647" xr:uid="{00000000-0005-0000-0000-000070090000}"/>
    <cellStyle name="Comma 11 2 3 6 2" xfId="2648" xr:uid="{00000000-0005-0000-0000-000071090000}"/>
    <cellStyle name="Comma 11 2 3 7" xfId="2649" xr:uid="{00000000-0005-0000-0000-000072090000}"/>
    <cellStyle name="Comma 11 2 4" xfId="2650" xr:uid="{00000000-0005-0000-0000-000073090000}"/>
    <cellStyle name="Comma 11 2 4 2" xfId="2651" xr:uid="{00000000-0005-0000-0000-000074090000}"/>
    <cellStyle name="Comma 11 2 4 2 2" xfId="2652" xr:uid="{00000000-0005-0000-0000-000075090000}"/>
    <cellStyle name="Comma 11 2 4 2 2 2" xfId="2653" xr:uid="{00000000-0005-0000-0000-000076090000}"/>
    <cellStyle name="Comma 11 2 4 2 3" xfId="2654" xr:uid="{00000000-0005-0000-0000-000077090000}"/>
    <cellStyle name="Comma 11 2 4 2 3 2" xfId="2655" xr:uid="{00000000-0005-0000-0000-000078090000}"/>
    <cellStyle name="Comma 11 2 4 2 4" xfId="2656" xr:uid="{00000000-0005-0000-0000-000079090000}"/>
    <cellStyle name="Comma 11 2 4 3" xfId="2657" xr:uid="{00000000-0005-0000-0000-00007A090000}"/>
    <cellStyle name="Comma 11 2 4 3 2" xfId="2658" xr:uid="{00000000-0005-0000-0000-00007B090000}"/>
    <cellStyle name="Comma 11 2 4 3 2 2" xfId="2659" xr:uid="{00000000-0005-0000-0000-00007C090000}"/>
    <cellStyle name="Comma 11 2 4 3 3" xfId="2660" xr:uid="{00000000-0005-0000-0000-00007D090000}"/>
    <cellStyle name="Comma 11 2 4 4" xfId="2661" xr:uid="{00000000-0005-0000-0000-00007E090000}"/>
    <cellStyle name="Comma 11 2 4 4 2" xfId="2662" xr:uid="{00000000-0005-0000-0000-00007F090000}"/>
    <cellStyle name="Comma 11 2 4 5" xfId="2663" xr:uid="{00000000-0005-0000-0000-000080090000}"/>
    <cellStyle name="Comma 11 2 4 5 2" xfId="2664" xr:uid="{00000000-0005-0000-0000-000081090000}"/>
    <cellStyle name="Comma 11 2 4 6" xfId="2665" xr:uid="{00000000-0005-0000-0000-000082090000}"/>
    <cellStyle name="Comma 11 2 5" xfId="2666" xr:uid="{00000000-0005-0000-0000-000083090000}"/>
    <cellStyle name="Comma 11 2 5 2" xfId="2667" xr:uid="{00000000-0005-0000-0000-000084090000}"/>
    <cellStyle name="Comma 11 2 5 2 2" xfId="2668" xr:uid="{00000000-0005-0000-0000-000085090000}"/>
    <cellStyle name="Comma 11 2 5 3" xfId="2669" xr:uid="{00000000-0005-0000-0000-000086090000}"/>
    <cellStyle name="Comma 11 2 5 3 2" xfId="2670" xr:uid="{00000000-0005-0000-0000-000087090000}"/>
    <cellStyle name="Comma 11 2 5 4" xfId="2671" xr:uid="{00000000-0005-0000-0000-000088090000}"/>
    <cellStyle name="Comma 11 2 6" xfId="2672" xr:uid="{00000000-0005-0000-0000-000089090000}"/>
    <cellStyle name="Comma 11 2 6 2" xfId="2673" xr:uid="{00000000-0005-0000-0000-00008A090000}"/>
    <cellStyle name="Comma 11 2 6 2 2" xfId="2674" xr:uid="{00000000-0005-0000-0000-00008B090000}"/>
    <cellStyle name="Comma 11 2 6 3" xfId="2675" xr:uid="{00000000-0005-0000-0000-00008C090000}"/>
    <cellStyle name="Comma 11 2 7" xfId="2676" xr:uid="{00000000-0005-0000-0000-00008D090000}"/>
    <cellStyle name="Comma 11 2 7 2" xfId="2677" xr:uid="{00000000-0005-0000-0000-00008E090000}"/>
    <cellStyle name="Comma 11 2 8" xfId="2678" xr:uid="{00000000-0005-0000-0000-00008F090000}"/>
    <cellStyle name="Comma 11 2 8 2" xfId="2679" xr:uid="{00000000-0005-0000-0000-000090090000}"/>
    <cellStyle name="Comma 11 2 9" xfId="2680" xr:uid="{00000000-0005-0000-0000-000091090000}"/>
    <cellStyle name="Comma 11 3" xfId="2681" xr:uid="{00000000-0005-0000-0000-000092090000}"/>
    <cellStyle name="Comma 11 3 2" xfId="2682" xr:uid="{00000000-0005-0000-0000-000093090000}"/>
    <cellStyle name="Comma 11 3 2 2" xfId="2683" xr:uid="{00000000-0005-0000-0000-000094090000}"/>
    <cellStyle name="Comma 11 3 2 2 2" xfId="2684" xr:uid="{00000000-0005-0000-0000-000095090000}"/>
    <cellStyle name="Comma 11 3 2 2 2 2" xfId="2685" xr:uid="{00000000-0005-0000-0000-000096090000}"/>
    <cellStyle name="Comma 11 3 2 2 3" xfId="2686" xr:uid="{00000000-0005-0000-0000-000097090000}"/>
    <cellStyle name="Comma 11 3 2 2 3 2" xfId="2687" xr:uid="{00000000-0005-0000-0000-000098090000}"/>
    <cellStyle name="Comma 11 3 2 2 4" xfId="2688" xr:uid="{00000000-0005-0000-0000-000099090000}"/>
    <cellStyle name="Comma 11 3 2 3" xfId="2689" xr:uid="{00000000-0005-0000-0000-00009A090000}"/>
    <cellStyle name="Comma 11 3 2 3 2" xfId="2690" xr:uid="{00000000-0005-0000-0000-00009B090000}"/>
    <cellStyle name="Comma 11 3 2 3 2 2" xfId="2691" xr:uid="{00000000-0005-0000-0000-00009C090000}"/>
    <cellStyle name="Comma 11 3 2 3 3" xfId="2692" xr:uid="{00000000-0005-0000-0000-00009D090000}"/>
    <cellStyle name="Comma 11 3 2 4" xfId="2693" xr:uid="{00000000-0005-0000-0000-00009E090000}"/>
    <cellStyle name="Comma 11 3 2 4 2" xfId="2694" xr:uid="{00000000-0005-0000-0000-00009F090000}"/>
    <cellStyle name="Comma 11 3 2 5" xfId="2695" xr:uid="{00000000-0005-0000-0000-0000A0090000}"/>
    <cellStyle name="Comma 11 3 2 5 2" xfId="2696" xr:uid="{00000000-0005-0000-0000-0000A1090000}"/>
    <cellStyle name="Comma 11 3 2 6" xfId="2697" xr:uid="{00000000-0005-0000-0000-0000A2090000}"/>
    <cellStyle name="Comma 11 3 3" xfId="2698" xr:uid="{00000000-0005-0000-0000-0000A3090000}"/>
    <cellStyle name="Comma 11 3 3 2" xfId="2699" xr:uid="{00000000-0005-0000-0000-0000A4090000}"/>
    <cellStyle name="Comma 11 3 3 2 2" xfId="2700" xr:uid="{00000000-0005-0000-0000-0000A5090000}"/>
    <cellStyle name="Comma 11 3 3 3" xfId="2701" xr:uid="{00000000-0005-0000-0000-0000A6090000}"/>
    <cellStyle name="Comma 11 3 3 3 2" xfId="2702" xr:uid="{00000000-0005-0000-0000-0000A7090000}"/>
    <cellStyle name="Comma 11 3 3 4" xfId="2703" xr:uid="{00000000-0005-0000-0000-0000A8090000}"/>
    <cellStyle name="Comma 11 3 4" xfId="2704" xr:uid="{00000000-0005-0000-0000-0000A9090000}"/>
    <cellStyle name="Comma 11 3 4 2" xfId="2705" xr:uid="{00000000-0005-0000-0000-0000AA090000}"/>
    <cellStyle name="Comma 11 3 4 2 2" xfId="2706" xr:uid="{00000000-0005-0000-0000-0000AB090000}"/>
    <cellStyle name="Comma 11 3 4 3" xfId="2707" xr:uid="{00000000-0005-0000-0000-0000AC090000}"/>
    <cellStyle name="Comma 11 3 5" xfId="2708" xr:uid="{00000000-0005-0000-0000-0000AD090000}"/>
    <cellStyle name="Comma 11 3 5 2" xfId="2709" xr:uid="{00000000-0005-0000-0000-0000AE090000}"/>
    <cellStyle name="Comma 11 3 6" xfId="2710" xr:uid="{00000000-0005-0000-0000-0000AF090000}"/>
    <cellStyle name="Comma 11 3 6 2" xfId="2711" xr:uid="{00000000-0005-0000-0000-0000B0090000}"/>
    <cellStyle name="Comma 11 3 7" xfId="2712" xr:uid="{00000000-0005-0000-0000-0000B1090000}"/>
    <cellStyle name="Comma 11 4" xfId="2713" xr:uid="{00000000-0005-0000-0000-0000B2090000}"/>
    <cellStyle name="Comma 11 4 2" xfId="2714" xr:uid="{00000000-0005-0000-0000-0000B3090000}"/>
    <cellStyle name="Comma 11 4 2 2" xfId="2715" xr:uid="{00000000-0005-0000-0000-0000B4090000}"/>
    <cellStyle name="Comma 11 4 2 2 2" xfId="2716" xr:uid="{00000000-0005-0000-0000-0000B5090000}"/>
    <cellStyle name="Comma 11 4 2 2 2 2" xfId="2717" xr:uid="{00000000-0005-0000-0000-0000B6090000}"/>
    <cellStyle name="Comma 11 4 2 2 3" xfId="2718" xr:uid="{00000000-0005-0000-0000-0000B7090000}"/>
    <cellStyle name="Comma 11 4 2 2 3 2" xfId="2719" xr:uid="{00000000-0005-0000-0000-0000B8090000}"/>
    <cellStyle name="Comma 11 4 2 2 4" xfId="2720" xr:uid="{00000000-0005-0000-0000-0000B9090000}"/>
    <cellStyle name="Comma 11 4 2 3" xfId="2721" xr:uid="{00000000-0005-0000-0000-0000BA090000}"/>
    <cellStyle name="Comma 11 4 2 3 2" xfId="2722" xr:uid="{00000000-0005-0000-0000-0000BB090000}"/>
    <cellStyle name="Comma 11 4 2 3 2 2" xfId="2723" xr:uid="{00000000-0005-0000-0000-0000BC090000}"/>
    <cellStyle name="Comma 11 4 2 3 3" xfId="2724" xr:uid="{00000000-0005-0000-0000-0000BD090000}"/>
    <cellStyle name="Comma 11 4 2 4" xfId="2725" xr:uid="{00000000-0005-0000-0000-0000BE090000}"/>
    <cellStyle name="Comma 11 4 2 4 2" xfId="2726" xr:uid="{00000000-0005-0000-0000-0000BF090000}"/>
    <cellStyle name="Comma 11 4 2 5" xfId="2727" xr:uid="{00000000-0005-0000-0000-0000C0090000}"/>
    <cellStyle name="Comma 11 4 2 5 2" xfId="2728" xr:uid="{00000000-0005-0000-0000-0000C1090000}"/>
    <cellStyle name="Comma 11 4 2 6" xfId="2729" xr:uid="{00000000-0005-0000-0000-0000C2090000}"/>
    <cellStyle name="Comma 11 4 3" xfId="2730" xr:uid="{00000000-0005-0000-0000-0000C3090000}"/>
    <cellStyle name="Comma 11 4 3 2" xfId="2731" xr:uid="{00000000-0005-0000-0000-0000C4090000}"/>
    <cellStyle name="Comma 11 4 3 2 2" xfId="2732" xr:uid="{00000000-0005-0000-0000-0000C5090000}"/>
    <cellStyle name="Comma 11 4 3 3" xfId="2733" xr:uid="{00000000-0005-0000-0000-0000C6090000}"/>
    <cellStyle name="Comma 11 4 3 3 2" xfId="2734" xr:uid="{00000000-0005-0000-0000-0000C7090000}"/>
    <cellStyle name="Comma 11 4 3 4" xfId="2735" xr:uid="{00000000-0005-0000-0000-0000C8090000}"/>
    <cellStyle name="Comma 11 4 4" xfId="2736" xr:uid="{00000000-0005-0000-0000-0000C9090000}"/>
    <cellStyle name="Comma 11 4 4 2" xfId="2737" xr:uid="{00000000-0005-0000-0000-0000CA090000}"/>
    <cellStyle name="Comma 11 4 4 2 2" xfId="2738" xr:uid="{00000000-0005-0000-0000-0000CB090000}"/>
    <cellStyle name="Comma 11 4 4 3" xfId="2739" xr:uid="{00000000-0005-0000-0000-0000CC090000}"/>
    <cellStyle name="Comma 11 4 5" xfId="2740" xr:uid="{00000000-0005-0000-0000-0000CD090000}"/>
    <cellStyle name="Comma 11 4 5 2" xfId="2741" xr:uid="{00000000-0005-0000-0000-0000CE090000}"/>
    <cellStyle name="Comma 11 4 6" xfId="2742" xr:uid="{00000000-0005-0000-0000-0000CF090000}"/>
    <cellStyle name="Comma 11 4 6 2" xfId="2743" xr:uid="{00000000-0005-0000-0000-0000D0090000}"/>
    <cellStyle name="Comma 11 4 7" xfId="2744" xr:uid="{00000000-0005-0000-0000-0000D1090000}"/>
    <cellStyle name="Comma 11 5" xfId="2745" xr:uid="{00000000-0005-0000-0000-0000D2090000}"/>
    <cellStyle name="Comma 110" xfId="2746" xr:uid="{00000000-0005-0000-0000-0000D3090000}"/>
    <cellStyle name="Comma 111" xfId="2747" xr:uid="{00000000-0005-0000-0000-0000D4090000}"/>
    <cellStyle name="Comma 112" xfId="2748" xr:uid="{00000000-0005-0000-0000-0000D5090000}"/>
    <cellStyle name="Comma 113" xfId="2749" xr:uid="{00000000-0005-0000-0000-0000D6090000}"/>
    <cellStyle name="Comma 114" xfId="2750" xr:uid="{00000000-0005-0000-0000-0000D7090000}"/>
    <cellStyle name="Comma 115" xfId="2751" xr:uid="{00000000-0005-0000-0000-0000D8090000}"/>
    <cellStyle name="Comma 116" xfId="2752" xr:uid="{00000000-0005-0000-0000-0000D9090000}"/>
    <cellStyle name="Comma 117" xfId="2753" xr:uid="{00000000-0005-0000-0000-0000DA090000}"/>
    <cellStyle name="Comma 118" xfId="2754" xr:uid="{00000000-0005-0000-0000-0000DB090000}"/>
    <cellStyle name="Comma 119" xfId="2755" xr:uid="{00000000-0005-0000-0000-0000DC090000}"/>
    <cellStyle name="Comma 12" xfId="43" xr:uid="{00000000-0005-0000-0000-0000DD090000}"/>
    <cellStyle name="Comma 12 2" xfId="2756" xr:uid="{00000000-0005-0000-0000-0000DE090000}"/>
    <cellStyle name="Comma 12 2 2" xfId="2757" xr:uid="{00000000-0005-0000-0000-0000DF090000}"/>
    <cellStyle name="Comma 12 2 2 2" xfId="2758" xr:uid="{00000000-0005-0000-0000-0000E0090000}"/>
    <cellStyle name="Comma 12 2 2 2 2" xfId="2759" xr:uid="{00000000-0005-0000-0000-0000E1090000}"/>
    <cellStyle name="Comma 12 2 2 2 2 2" xfId="2760" xr:uid="{00000000-0005-0000-0000-0000E2090000}"/>
    <cellStyle name="Comma 12 2 2 2 2 2 2" xfId="2761" xr:uid="{00000000-0005-0000-0000-0000E3090000}"/>
    <cellStyle name="Comma 12 2 2 2 2 3" xfId="2762" xr:uid="{00000000-0005-0000-0000-0000E4090000}"/>
    <cellStyle name="Comma 12 2 2 2 2 3 2" xfId="2763" xr:uid="{00000000-0005-0000-0000-0000E5090000}"/>
    <cellStyle name="Comma 12 2 2 2 2 4" xfId="2764" xr:uid="{00000000-0005-0000-0000-0000E6090000}"/>
    <cellStyle name="Comma 12 2 2 2 3" xfId="2765" xr:uid="{00000000-0005-0000-0000-0000E7090000}"/>
    <cellStyle name="Comma 12 2 2 2 3 2" xfId="2766" xr:uid="{00000000-0005-0000-0000-0000E8090000}"/>
    <cellStyle name="Comma 12 2 2 2 3 2 2" xfId="2767" xr:uid="{00000000-0005-0000-0000-0000E9090000}"/>
    <cellStyle name="Comma 12 2 2 2 3 3" xfId="2768" xr:uid="{00000000-0005-0000-0000-0000EA090000}"/>
    <cellStyle name="Comma 12 2 2 2 4" xfId="2769" xr:uid="{00000000-0005-0000-0000-0000EB090000}"/>
    <cellStyle name="Comma 12 2 2 2 4 2" xfId="2770" xr:uid="{00000000-0005-0000-0000-0000EC090000}"/>
    <cellStyle name="Comma 12 2 2 2 5" xfId="2771" xr:uid="{00000000-0005-0000-0000-0000ED090000}"/>
    <cellStyle name="Comma 12 2 2 2 5 2" xfId="2772" xr:uid="{00000000-0005-0000-0000-0000EE090000}"/>
    <cellStyle name="Comma 12 2 2 2 6" xfId="2773" xr:uid="{00000000-0005-0000-0000-0000EF090000}"/>
    <cellStyle name="Comma 12 2 2 3" xfId="2774" xr:uid="{00000000-0005-0000-0000-0000F0090000}"/>
    <cellStyle name="Comma 12 2 2 3 2" xfId="2775" xr:uid="{00000000-0005-0000-0000-0000F1090000}"/>
    <cellStyle name="Comma 12 2 2 3 2 2" xfId="2776" xr:uid="{00000000-0005-0000-0000-0000F2090000}"/>
    <cellStyle name="Comma 12 2 2 3 3" xfId="2777" xr:uid="{00000000-0005-0000-0000-0000F3090000}"/>
    <cellStyle name="Comma 12 2 2 3 3 2" xfId="2778" xr:uid="{00000000-0005-0000-0000-0000F4090000}"/>
    <cellStyle name="Comma 12 2 2 3 4" xfId="2779" xr:uid="{00000000-0005-0000-0000-0000F5090000}"/>
    <cellStyle name="Comma 12 2 2 4" xfId="2780" xr:uid="{00000000-0005-0000-0000-0000F6090000}"/>
    <cellStyle name="Comma 12 2 2 4 2" xfId="2781" xr:uid="{00000000-0005-0000-0000-0000F7090000}"/>
    <cellStyle name="Comma 12 2 2 4 2 2" xfId="2782" xr:uid="{00000000-0005-0000-0000-0000F8090000}"/>
    <cellStyle name="Comma 12 2 2 4 3" xfId="2783" xr:uid="{00000000-0005-0000-0000-0000F9090000}"/>
    <cellStyle name="Comma 12 2 2 5" xfId="2784" xr:uid="{00000000-0005-0000-0000-0000FA090000}"/>
    <cellStyle name="Comma 12 2 2 5 2" xfId="2785" xr:uid="{00000000-0005-0000-0000-0000FB090000}"/>
    <cellStyle name="Comma 12 2 2 6" xfId="2786" xr:uid="{00000000-0005-0000-0000-0000FC090000}"/>
    <cellStyle name="Comma 12 2 2 6 2" xfId="2787" xr:uid="{00000000-0005-0000-0000-0000FD090000}"/>
    <cellStyle name="Comma 12 2 2 7" xfId="2788" xr:uid="{00000000-0005-0000-0000-0000FE090000}"/>
    <cellStyle name="Comma 12 2 3" xfId="2789" xr:uid="{00000000-0005-0000-0000-0000FF090000}"/>
    <cellStyle name="Comma 12 2 3 2" xfId="2790" xr:uid="{00000000-0005-0000-0000-0000000A0000}"/>
    <cellStyle name="Comma 12 2 3 2 2" xfId="2791" xr:uid="{00000000-0005-0000-0000-0000010A0000}"/>
    <cellStyle name="Comma 12 2 3 2 2 2" xfId="2792" xr:uid="{00000000-0005-0000-0000-0000020A0000}"/>
    <cellStyle name="Comma 12 2 3 2 2 2 2" xfId="2793" xr:uid="{00000000-0005-0000-0000-0000030A0000}"/>
    <cellStyle name="Comma 12 2 3 2 2 3" xfId="2794" xr:uid="{00000000-0005-0000-0000-0000040A0000}"/>
    <cellStyle name="Comma 12 2 3 2 2 3 2" xfId="2795" xr:uid="{00000000-0005-0000-0000-0000050A0000}"/>
    <cellStyle name="Comma 12 2 3 2 2 4" xfId="2796" xr:uid="{00000000-0005-0000-0000-0000060A0000}"/>
    <cellStyle name="Comma 12 2 3 2 3" xfId="2797" xr:uid="{00000000-0005-0000-0000-0000070A0000}"/>
    <cellStyle name="Comma 12 2 3 2 3 2" xfId="2798" xr:uid="{00000000-0005-0000-0000-0000080A0000}"/>
    <cellStyle name="Comma 12 2 3 2 3 2 2" xfId="2799" xr:uid="{00000000-0005-0000-0000-0000090A0000}"/>
    <cellStyle name="Comma 12 2 3 2 3 3" xfId="2800" xr:uid="{00000000-0005-0000-0000-00000A0A0000}"/>
    <cellStyle name="Comma 12 2 3 2 4" xfId="2801" xr:uid="{00000000-0005-0000-0000-00000B0A0000}"/>
    <cellStyle name="Comma 12 2 3 2 4 2" xfId="2802" xr:uid="{00000000-0005-0000-0000-00000C0A0000}"/>
    <cellStyle name="Comma 12 2 3 2 5" xfId="2803" xr:uid="{00000000-0005-0000-0000-00000D0A0000}"/>
    <cellStyle name="Comma 12 2 3 2 5 2" xfId="2804" xr:uid="{00000000-0005-0000-0000-00000E0A0000}"/>
    <cellStyle name="Comma 12 2 3 2 6" xfId="2805" xr:uid="{00000000-0005-0000-0000-00000F0A0000}"/>
    <cellStyle name="Comma 12 2 3 3" xfId="2806" xr:uid="{00000000-0005-0000-0000-0000100A0000}"/>
    <cellStyle name="Comma 12 2 3 3 2" xfId="2807" xr:uid="{00000000-0005-0000-0000-0000110A0000}"/>
    <cellStyle name="Comma 12 2 3 3 2 2" xfId="2808" xr:uid="{00000000-0005-0000-0000-0000120A0000}"/>
    <cellStyle name="Comma 12 2 3 3 3" xfId="2809" xr:uid="{00000000-0005-0000-0000-0000130A0000}"/>
    <cellStyle name="Comma 12 2 3 3 3 2" xfId="2810" xr:uid="{00000000-0005-0000-0000-0000140A0000}"/>
    <cellStyle name="Comma 12 2 3 3 4" xfId="2811" xr:uid="{00000000-0005-0000-0000-0000150A0000}"/>
    <cellStyle name="Comma 12 2 3 4" xfId="2812" xr:uid="{00000000-0005-0000-0000-0000160A0000}"/>
    <cellStyle name="Comma 12 2 3 4 2" xfId="2813" xr:uid="{00000000-0005-0000-0000-0000170A0000}"/>
    <cellStyle name="Comma 12 2 3 4 2 2" xfId="2814" xr:uid="{00000000-0005-0000-0000-0000180A0000}"/>
    <cellStyle name="Comma 12 2 3 4 3" xfId="2815" xr:uid="{00000000-0005-0000-0000-0000190A0000}"/>
    <cellStyle name="Comma 12 2 3 5" xfId="2816" xr:uid="{00000000-0005-0000-0000-00001A0A0000}"/>
    <cellStyle name="Comma 12 2 3 5 2" xfId="2817" xr:uid="{00000000-0005-0000-0000-00001B0A0000}"/>
    <cellStyle name="Comma 12 2 3 6" xfId="2818" xr:uid="{00000000-0005-0000-0000-00001C0A0000}"/>
    <cellStyle name="Comma 12 2 3 6 2" xfId="2819" xr:uid="{00000000-0005-0000-0000-00001D0A0000}"/>
    <cellStyle name="Comma 12 2 3 7" xfId="2820" xr:uid="{00000000-0005-0000-0000-00001E0A0000}"/>
    <cellStyle name="Comma 12 2 4" xfId="2821" xr:uid="{00000000-0005-0000-0000-00001F0A0000}"/>
    <cellStyle name="Comma 12 2 4 2" xfId="2822" xr:uid="{00000000-0005-0000-0000-0000200A0000}"/>
    <cellStyle name="Comma 12 2 4 2 2" xfId="2823" xr:uid="{00000000-0005-0000-0000-0000210A0000}"/>
    <cellStyle name="Comma 12 2 4 2 2 2" xfId="2824" xr:uid="{00000000-0005-0000-0000-0000220A0000}"/>
    <cellStyle name="Comma 12 2 4 2 3" xfId="2825" xr:uid="{00000000-0005-0000-0000-0000230A0000}"/>
    <cellStyle name="Comma 12 2 4 2 3 2" xfId="2826" xr:uid="{00000000-0005-0000-0000-0000240A0000}"/>
    <cellStyle name="Comma 12 2 4 2 4" xfId="2827" xr:uid="{00000000-0005-0000-0000-0000250A0000}"/>
    <cellStyle name="Comma 12 2 4 3" xfId="2828" xr:uid="{00000000-0005-0000-0000-0000260A0000}"/>
    <cellStyle name="Comma 12 2 4 3 2" xfId="2829" xr:uid="{00000000-0005-0000-0000-0000270A0000}"/>
    <cellStyle name="Comma 12 2 4 3 2 2" xfId="2830" xr:uid="{00000000-0005-0000-0000-0000280A0000}"/>
    <cellStyle name="Comma 12 2 4 3 3" xfId="2831" xr:uid="{00000000-0005-0000-0000-0000290A0000}"/>
    <cellStyle name="Comma 12 2 4 4" xfId="2832" xr:uid="{00000000-0005-0000-0000-00002A0A0000}"/>
    <cellStyle name="Comma 12 2 4 4 2" xfId="2833" xr:uid="{00000000-0005-0000-0000-00002B0A0000}"/>
    <cellStyle name="Comma 12 2 4 5" xfId="2834" xr:uid="{00000000-0005-0000-0000-00002C0A0000}"/>
    <cellStyle name="Comma 12 2 4 5 2" xfId="2835" xr:uid="{00000000-0005-0000-0000-00002D0A0000}"/>
    <cellStyle name="Comma 12 2 4 6" xfId="2836" xr:uid="{00000000-0005-0000-0000-00002E0A0000}"/>
    <cellStyle name="Comma 12 2 5" xfId="2837" xr:uid="{00000000-0005-0000-0000-00002F0A0000}"/>
    <cellStyle name="Comma 12 2 5 2" xfId="2838" xr:uid="{00000000-0005-0000-0000-0000300A0000}"/>
    <cellStyle name="Comma 12 2 5 2 2" xfId="2839" xr:uid="{00000000-0005-0000-0000-0000310A0000}"/>
    <cellStyle name="Comma 12 2 5 3" xfId="2840" xr:uid="{00000000-0005-0000-0000-0000320A0000}"/>
    <cellStyle name="Comma 12 2 5 3 2" xfId="2841" xr:uid="{00000000-0005-0000-0000-0000330A0000}"/>
    <cellStyle name="Comma 12 2 5 4" xfId="2842" xr:uid="{00000000-0005-0000-0000-0000340A0000}"/>
    <cellStyle name="Comma 12 2 6" xfId="2843" xr:uid="{00000000-0005-0000-0000-0000350A0000}"/>
    <cellStyle name="Comma 12 2 6 2" xfId="2844" xr:uid="{00000000-0005-0000-0000-0000360A0000}"/>
    <cellStyle name="Comma 12 2 6 2 2" xfId="2845" xr:uid="{00000000-0005-0000-0000-0000370A0000}"/>
    <cellStyle name="Comma 12 2 6 3" xfId="2846" xr:uid="{00000000-0005-0000-0000-0000380A0000}"/>
    <cellStyle name="Comma 12 2 7" xfId="2847" xr:uid="{00000000-0005-0000-0000-0000390A0000}"/>
    <cellStyle name="Comma 12 2 7 2" xfId="2848" xr:uid="{00000000-0005-0000-0000-00003A0A0000}"/>
    <cellStyle name="Comma 12 2 8" xfId="2849" xr:uid="{00000000-0005-0000-0000-00003B0A0000}"/>
    <cellStyle name="Comma 12 2 8 2" xfId="2850" xr:uid="{00000000-0005-0000-0000-00003C0A0000}"/>
    <cellStyle name="Comma 12 2 9" xfId="2851" xr:uid="{00000000-0005-0000-0000-00003D0A0000}"/>
    <cellStyle name="Comma 12 3" xfId="2852" xr:uid="{00000000-0005-0000-0000-00003E0A0000}"/>
    <cellStyle name="Comma 12 3 2" xfId="2853" xr:uid="{00000000-0005-0000-0000-00003F0A0000}"/>
    <cellStyle name="Comma 12 3 2 2" xfId="2854" xr:uid="{00000000-0005-0000-0000-0000400A0000}"/>
    <cellStyle name="Comma 12 3 2 2 2" xfId="2855" xr:uid="{00000000-0005-0000-0000-0000410A0000}"/>
    <cellStyle name="Comma 12 3 2 2 2 2" xfId="2856" xr:uid="{00000000-0005-0000-0000-0000420A0000}"/>
    <cellStyle name="Comma 12 3 2 2 3" xfId="2857" xr:uid="{00000000-0005-0000-0000-0000430A0000}"/>
    <cellStyle name="Comma 12 3 2 2 3 2" xfId="2858" xr:uid="{00000000-0005-0000-0000-0000440A0000}"/>
    <cellStyle name="Comma 12 3 2 2 4" xfId="2859" xr:uid="{00000000-0005-0000-0000-0000450A0000}"/>
    <cellStyle name="Comma 12 3 2 3" xfId="2860" xr:uid="{00000000-0005-0000-0000-0000460A0000}"/>
    <cellStyle name="Comma 12 3 2 3 2" xfId="2861" xr:uid="{00000000-0005-0000-0000-0000470A0000}"/>
    <cellStyle name="Comma 12 3 2 3 2 2" xfId="2862" xr:uid="{00000000-0005-0000-0000-0000480A0000}"/>
    <cellStyle name="Comma 12 3 2 3 3" xfId="2863" xr:uid="{00000000-0005-0000-0000-0000490A0000}"/>
    <cellStyle name="Comma 12 3 2 4" xfId="2864" xr:uid="{00000000-0005-0000-0000-00004A0A0000}"/>
    <cellStyle name="Comma 12 3 2 4 2" xfId="2865" xr:uid="{00000000-0005-0000-0000-00004B0A0000}"/>
    <cellStyle name="Comma 12 3 2 5" xfId="2866" xr:uid="{00000000-0005-0000-0000-00004C0A0000}"/>
    <cellStyle name="Comma 12 3 2 5 2" xfId="2867" xr:uid="{00000000-0005-0000-0000-00004D0A0000}"/>
    <cellStyle name="Comma 12 3 2 6" xfId="2868" xr:uid="{00000000-0005-0000-0000-00004E0A0000}"/>
    <cellStyle name="Comma 12 3 3" xfId="2869" xr:uid="{00000000-0005-0000-0000-00004F0A0000}"/>
    <cellStyle name="Comma 12 3 3 2" xfId="2870" xr:uid="{00000000-0005-0000-0000-0000500A0000}"/>
    <cellStyle name="Comma 12 3 3 2 2" xfId="2871" xr:uid="{00000000-0005-0000-0000-0000510A0000}"/>
    <cellStyle name="Comma 12 3 3 3" xfId="2872" xr:uid="{00000000-0005-0000-0000-0000520A0000}"/>
    <cellStyle name="Comma 12 3 3 3 2" xfId="2873" xr:uid="{00000000-0005-0000-0000-0000530A0000}"/>
    <cellStyle name="Comma 12 3 3 4" xfId="2874" xr:uid="{00000000-0005-0000-0000-0000540A0000}"/>
    <cellStyle name="Comma 12 3 4" xfId="2875" xr:uid="{00000000-0005-0000-0000-0000550A0000}"/>
    <cellStyle name="Comma 12 3 4 2" xfId="2876" xr:uid="{00000000-0005-0000-0000-0000560A0000}"/>
    <cellStyle name="Comma 12 3 4 2 2" xfId="2877" xr:uid="{00000000-0005-0000-0000-0000570A0000}"/>
    <cellStyle name="Comma 12 3 4 3" xfId="2878" xr:uid="{00000000-0005-0000-0000-0000580A0000}"/>
    <cellStyle name="Comma 12 3 5" xfId="2879" xr:uid="{00000000-0005-0000-0000-0000590A0000}"/>
    <cellStyle name="Comma 12 3 5 2" xfId="2880" xr:uid="{00000000-0005-0000-0000-00005A0A0000}"/>
    <cellStyle name="Comma 12 3 6" xfId="2881" xr:uid="{00000000-0005-0000-0000-00005B0A0000}"/>
    <cellStyle name="Comma 12 3 6 2" xfId="2882" xr:uid="{00000000-0005-0000-0000-00005C0A0000}"/>
    <cellStyle name="Comma 12 3 7" xfId="2883" xr:uid="{00000000-0005-0000-0000-00005D0A0000}"/>
    <cellStyle name="Comma 12 4" xfId="2884" xr:uid="{00000000-0005-0000-0000-00005E0A0000}"/>
    <cellStyle name="Comma 12 4 2" xfId="2885" xr:uid="{00000000-0005-0000-0000-00005F0A0000}"/>
    <cellStyle name="Comma 12 4 2 2" xfId="2886" xr:uid="{00000000-0005-0000-0000-0000600A0000}"/>
    <cellStyle name="Comma 12 4 2 2 2" xfId="2887" xr:uid="{00000000-0005-0000-0000-0000610A0000}"/>
    <cellStyle name="Comma 12 4 2 2 2 2" xfId="2888" xr:uid="{00000000-0005-0000-0000-0000620A0000}"/>
    <cellStyle name="Comma 12 4 2 2 3" xfId="2889" xr:uid="{00000000-0005-0000-0000-0000630A0000}"/>
    <cellStyle name="Comma 12 4 2 2 3 2" xfId="2890" xr:uid="{00000000-0005-0000-0000-0000640A0000}"/>
    <cellStyle name="Comma 12 4 2 2 4" xfId="2891" xr:uid="{00000000-0005-0000-0000-0000650A0000}"/>
    <cellStyle name="Comma 12 4 2 3" xfId="2892" xr:uid="{00000000-0005-0000-0000-0000660A0000}"/>
    <cellStyle name="Comma 12 4 2 3 2" xfId="2893" xr:uid="{00000000-0005-0000-0000-0000670A0000}"/>
    <cellStyle name="Comma 12 4 2 3 2 2" xfId="2894" xr:uid="{00000000-0005-0000-0000-0000680A0000}"/>
    <cellStyle name="Comma 12 4 2 3 3" xfId="2895" xr:uid="{00000000-0005-0000-0000-0000690A0000}"/>
    <cellStyle name="Comma 12 4 2 4" xfId="2896" xr:uid="{00000000-0005-0000-0000-00006A0A0000}"/>
    <cellStyle name="Comma 12 4 2 4 2" xfId="2897" xr:uid="{00000000-0005-0000-0000-00006B0A0000}"/>
    <cellStyle name="Comma 12 4 2 5" xfId="2898" xr:uid="{00000000-0005-0000-0000-00006C0A0000}"/>
    <cellStyle name="Comma 12 4 2 5 2" xfId="2899" xr:uid="{00000000-0005-0000-0000-00006D0A0000}"/>
    <cellStyle name="Comma 12 4 2 6" xfId="2900" xr:uid="{00000000-0005-0000-0000-00006E0A0000}"/>
    <cellStyle name="Comma 12 4 3" xfId="2901" xr:uid="{00000000-0005-0000-0000-00006F0A0000}"/>
    <cellStyle name="Comma 12 4 3 2" xfId="2902" xr:uid="{00000000-0005-0000-0000-0000700A0000}"/>
    <cellStyle name="Comma 12 4 3 2 2" xfId="2903" xr:uid="{00000000-0005-0000-0000-0000710A0000}"/>
    <cellStyle name="Comma 12 4 3 3" xfId="2904" xr:uid="{00000000-0005-0000-0000-0000720A0000}"/>
    <cellStyle name="Comma 12 4 3 3 2" xfId="2905" xr:uid="{00000000-0005-0000-0000-0000730A0000}"/>
    <cellStyle name="Comma 12 4 3 4" xfId="2906" xr:uid="{00000000-0005-0000-0000-0000740A0000}"/>
    <cellStyle name="Comma 12 4 4" xfId="2907" xr:uid="{00000000-0005-0000-0000-0000750A0000}"/>
    <cellStyle name="Comma 12 4 4 2" xfId="2908" xr:uid="{00000000-0005-0000-0000-0000760A0000}"/>
    <cellStyle name="Comma 12 4 4 2 2" xfId="2909" xr:uid="{00000000-0005-0000-0000-0000770A0000}"/>
    <cellStyle name="Comma 12 4 4 3" xfId="2910" xr:uid="{00000000-0005-0000-0000-0000780A0000}"/>
    <cellStyle name="Comma 12 4 5" xfId="2911" xr:uid="{00000000-0005-0000-0000-0000790A0000}"/>
    <cellStyle name="Comma 12 4 5 2" xfId="2912" xr:uid="{00000000-0005-0000-0000-00007A0A0000}"/>
    <cellStyle name="Comma 12 4 6" xfId="2913" xr:uid="{00000000-0005-0000-0000-00007B0A0000}"/>
    <cellStyle name="Comma 12 4 6 2" xfId="2914" xr:uid="{00000000-0005-0000-0000-00007C0A0000}"/>
    <cellStyle name="Comma 12 4 7" xfId="2915" xr:uid="{00000000-0005-0000-0000-00007D0A0000}"/>
    <cellStyle name="Comma 12 5" xfId="2916" xr:uid="{00000000-0005-0000-0000-00007E0A0000}"/>
    <cellStyle name="Comma 120" xfId="2917" xr:uid="{00000000-0005-0000-0000-00007F0A0000}"/>
    <cellStyle name="Comma 121" xfId="2918" xr:uid="{00000000-0005-0000-0000-0000800A0000}"/>
    <cellStyle name="Comma 122" xfId="2919" xr:uid="{00000000-0005-0000-0000-0000810A0000}"/>
    <cellStyle name="Comma 123" xfId="2920" xr:uid="{00000000-0005-0000-0000-0000820A0000}"/>
    <cellStyle name="Comma 124" xfId="2921" xr:uid="{00000000-0005-0000-0000-0000830A0000}"/>
    <cellStyle name="Comma 125" xfId="2922" xr:uid="{00000000-0005-0000-0000-0000840A0000}"/>
    <cellStyle name="Comma 126" xfId="2923" xr:uid="{00000000-0005-0000-0000-0000850A0000}"/>
    <cellStyle name="Comma 127" xfId="2924" xr:uid="{00000000-0005-0000-0000-0000860A0000}"/>
    <cellStyle name="Comma 128" xfId="2925" xr:uid="{00000000-0005-0000-0000-0000870A0000}"/>
    <cellStyle name="Comma 129" xfId="2926" xr:uid="{00000000-0005-0000-0000-0000880A0000}"/>
    <cellStyle name="Comma 13" xfId="44" xr:uid="{00000000-0005-0000-0000-0000890A0000}"/>
    <cellStyle name="Comma 13 2" xfId="2927" xr:uid="{00000000-0005-0000-0000-00008A0A0000}"/>
    <cellStyle name="Comma 130" xfId="2928" xr:uid="{00000000-0005-0000-0000-00008B0A0000}"/>
    <cellStyle name="Comma 131" xfId="2929" xr:uid="{00000000-0005-0000-0000-00008C0A0000}"/>
    <cellStyle name="Comma 132" xfId="2930" xr:uid="{00000000-0005-0000-0000-00008D0A0000}"/>
    <cellStyle name="Comma 133" xfId="2931" xr:uid="{00000000-0005-0000-0000-00008E0A0000}"/>
    <cellStyle name="Comma 134" xfId="2932" xr:uid="{00000000-0005-0000-0000-00008F0A0000}"/>
    <cellStyle name="Comma 135" xfId="2933" xr:uid="{00000000-0005-0000-0000-0000900A0000}"/>
    <cellStyle name="Comma 136" xfId="2934" xr:uid="{00000000-0005-0000-0000-0000910A0000}"/>
    <cellStyle name="Comma 137" xfId="2935" xr:uid="{00000000-0005-0000-0000-0000920A0000}"/>
    <cellStyle name="Comma 138" xfId="2936" xr:uid="{00000000-0005-0000-0000-0000930A0000}"/>
    <cellStyle name="Comma 139" xfId="2937" xr:uid="{00000000-0005-0000-0000-0000940A0000}"/>
    <cellStyle name="Comma 14" xfId="45" xr:uid="{00000000-0005-0000-0000-0000950A0000}"/>
    <cellStyle name="Comma 14 2" xfId="2938" xr:uid="{00000000-0005-0000-0000-0000960A0000}"/>
    <cellStyle name="Comma 140" xfId="2939" xr:uid="{00000000-0005-0000-0000-0000970A0000}"/>
    <cellStyle name="Comma 141" xfId="2940" xr:uid="{00000000-0005-0000-0000-0000980A0000}"/>
    <cellStyle name="Comma 142" xfId="2941" xr:uid="{00000000-0005-0000-0000-0000990A0000}"/>
    <cellStyle name="Comma 143" xfId="2942" xr:uid="{00000000-0005-0000-0000-00009A0A0000}"/>
    <cellStyle name="Comma 144" xfId="2943" xr:uid="{00000000-0005-0000-0000-00009B0A0000}"/>
    <cellStyle name="Comma 145" xfId="2944" xr:uid="{00000000-0005-0000-0000-00009C0A0000}"/>
    <cellStyle name="Comma 146" xfId="2945" xr:uid="{00000000-0005-0000-0000-00009D0A0000}"/>
    <cellStyle name="Comma 147" xfId="2946" xr:uid="{00000000-0005-0000-0000-00009E0A0000}"/>
    <cellStyle name="Comma 148" xfId="2947" xr:uid="{00000000-0005-0000-0000-00009F0A0000}"/>
    <cellStyle name="Comma 149" xfId="2948" xr:uid="{00000000-0005-0000-0000-0000A00A0000}"/>
    <cellStyle name="Comma 15" xfId="46" xr:uid="{00000000-0005-0000-0000-0000A10A0000}"/>
    <cellStyle name="Comma 15 2" xfId="2949" xr:uid="{00000000-0005-0000-0000-0000A20A0000}"/>
    <cellStyle name="Comma 150" xfId="2950" xr:uid="{00000000-0005-0000-0000-0000A30A0000}"/>
    <cellStyle name="Comma 151" xfId="2951" xr:uid="{00000000-0005-0000-0000-0000A40A0000}"/>
    <cellStyle name="Comma 152" xfId="2952" xr:uid="{00000000-0005-0000-0000-0000A50A0000}"/>
    <cellStyle name="Comma 153" xfId="2953" xr:uid="{00000000-0005-0000-0000-0000A60A0000}"/>
    <cellStyle name="Comma 154" xfId="2954" xr:uid="{00000000-0005-0000-0000-0000A70A0000}"/>
    <cellStyle name="Comma 155" xfId="2955" xr:uid="{00000000-0005-0000-0000-0000A80A0000}"/>
    <cellStyle name="Comma 156" xfId="2956" xr:uid="{00000000-0005-0000-0000-0000A90A0000}"/>
    <cellStyle name="Comma 157" xfId="2957" xr:uid="{00000000-0005-0000-0000-0000AA0A0000}"/>
    <cellStyle name="Comma 158" xfId="2958" xr:uid="{00000000-0005-0000-0000-0000AB0A0000}"/>
    <cellStyle name="Comma 159" xfId="2959" xr:uid="{00000000-0005-0000-0000-0000AC0A0000}"/>
    <cellStyle name="Comma 16" xfId="47" xr:uid="{00000000-0005-0000-0000-0000AD0A0000}"/>
    <cellStyle name="Comma 16 2" xfId="2960" xr:uid="{00000000-0005-0000-0000-0000AE0A0000}"/>
    <cellStyle name="Comma 16 2 2" xfId="2961" xr:uid="{00000000-0005-0000-0000-0000AF0A0000}"/>
    <cellStyle name="Comma 16 2 2 2" xfId="2962" xr:uid="{00000000-0005-0000-0000-0000B00A0000}"/>
    <cellStyle name="Comma 160" xfId="2963" xr:uid="{00000000-0005-0000-0000-0000B10A0000}"/>
    <cellStyle name="Comma 161" xfId="2964" xr:uid="{00000000-0005-0000-0000-0000B20A0000}"/>
    <cellStyle name="Comma 162" xfId="2965" xr:uid="{00000000-0005-0000-0000-0000B30A0000}"/>
    <cellStyle name="Comma 162 2" xfId="2966" xr:uid="{00000000-0005-0000-0000-0000B40A0000}"/>
    <cellStyle name="Comma 163" xfId="284" xr:uid="{00000000-0005-0000-0000-0000B50A0000}"/>
    <cellStyle name="Comma 164" xfId="16766" xr:uid="{00000000-0005-0000-0000-0000B60A0000}"/>
    <cellStyle name="Comma 165" xfId="278" xr:uid="{00000000-0005-0000-0000-0000B70A0000}"/>
    <cellStyle name="Comma 166" xfId="16778" xr:uid="{00000000-0005-0000-0000-0000B80A0000}"/>
    <cellStyle name="Comma 167" xfId="16841" xr:uid="{00000000-0005-0000-0000-0000B90A0000}"/>
    <cellStyle name="Comma 168" xfId="16782" xr:uid="{00000000-0005-0000-0000-0000BA0A0000}"/>
    <cellStyle name="Comma 169" xfId="16890" xr:uid="{00000000-0005-0000-0000-0000BB0A0000}"/>
    <cellStyle name="Comma 17" xfId="48" xr:uid="{00000000-0005-0000-0000-0000BC0A0000}"/>
    <cellStyle name="Comma 17 2" xfId="2967" xr:uid="{00000000-0005-0000-0000-0000BD0A0000}"/>
    <cellStyle name="Comma 17 2 2" xfId="2968" xr:uid="{00000000-0005-0000-0000-0000BE0A0000}"/>
    <cellStyle name="Comma 17 3" xfId="2969" xr:uid="{00000000-0005-0000-0000-0000BF0A0000}"/>
    <cellStyle name="Comma 18" xfId="49" xr:uid="{00000000-0005-0000-0000-0000C00A0000}"/>
    <cellStyle name="Comma 18 2" xfId="2970" xr:uid="{00000000-0005-0000-0000-0000C10A0000}"/>
    <cellStyle name="Comma 18 2 2" xfId="2971" xr:uid="{00000000-0005-0000-0000-0000C20A0000}"/>
    <cellStyle name="Comma 18 3" xfId="2972" xr:uid="{00000000-0005-0000-0000-0000C30A0000}"/>
    <cellStyle name="Comma 19" xfId="50" xr:uid="{00000000-0005-0000-0000-0000C40A0000}"/>
    <cellStyle name="Comma 2" xfId="51" xr:uid="{00000000-0005-0000-0000-0000C50A0000}"/>
    <cellStyle name="Comma 2 2" xfId="52" xr:uid="{00000000-0005-0000-0000-0000C60A0000}"/>
    <cellStyle name="Comma 2 2 2" xfId="53" xr:uid="{00000000-0005-0000-0000-0000C70A0000}"/>
    <cellStyle name="Comma 2 2 2 2" xfId="2973" xr:uid="{00000000-0005-0000-0000-0000C80A0000}"/>
    <cellStyle name="Comma 2 2 2 3" xfId="2974" xr:uid="{00000000-0005-0000-0000-0000C90A0000}"/>
    <cellStyle name="Comma 2 2 2 3 2" xfId="2975" xr:uid="{00000000-0005-0000-0000-0000CA0A0000}"/>
    <cellStyle name="Comma 2 2 3" xfId="2976" xr:uid="{00000000-0005-0000-0000-0000CB0A0000}"/>
    <cellStyle name="Comma 2 2 4" xfId="2977" xr:uid="{00000000-0005-0000-0000-0000CC0A0000}"/>
    <cellStyle name="Comma 2 2 5" xfId="2978" xr:uid="{00000000-0005-0000-0000-0000CD0A0000}"/>
    <cellStyle name="Comma 2 2 6" xfId="2979" xr:uid="{00000000-0005-0000-0000-0000CE0A0000}"/>
    <cellStyle name="Comma 2 2 7" xfId="2980" xr:uid="{00000000-0005-0000-0000-0000CF0A0000}"/>
    <cellStyle name="Comma 2 2 8" xfId="2981" xr:uid="{00000000-0005-0000-0000-0000D00A0000}"/>
    <cellStyle name="Comma 2 3" xfId="2982" xr:uid="{00000000-0005-0000-0000-0000D10A0000}"/>
    <cellStyle name="Comma 2 3 2" xfId="2983" xr:uid="{00000000-0005-0000-0000-0000D20A0000}"/>
    <cellStyle name="Comma 2 3 2 2" xfId="2984" xr:uid="{00000000-0005-0000-0000-0000D30A0000}"/>
    <cellStyle name="Comma 2 3 3" xfId="2985" xr:uid="{00000000-0005-0000-0000-0000D40A0000}"/>
    <cellStyle name="Comma 2 3 4" xfId="2986" xr:uid="{00000000-0005-0000-0000-0000D50A0000}"/>
    <cellStyle name="Comma 2 4" xfId="2987" xr:uid="{00000000-0005-0000-0000-0000D60A0000}"/>
    <cellStyle name="Comma 2 4 2" xfId="2988" xr:uid="{00000000-0005-0000-0000-0000D70A0000}"/>
    <cellStyle name="Comma 2 5" xfId="2989" xr:uid="{00000000-0005-0000-0000-0000D80A0000}"/>
    <cellStyle name="Comma 2 5 2" xfId="2990" xr:uid="{00000000-0005-0000-0000-0000D90A0000}"/>
    <cellStyle name="Comma 2 6" xfId="2991" xr:uid="{00000000-0005-0000-0000-0000DA0A0000}"/>
    <cellStyle name="Comma 2 6 2" xfId="2992" xr:uid="{00000000-0005-0000-0000-0000DB0A0000}"/>
    <cellStyle name="Comma 2 7" xfId="2993" xr:uid="{00000000-0005-0000-0000-0000DC0A0000}"/>
    <cellStyle name="Comma 2 7 2" xfId="2994" xr:uid="{00000000-0005-0000-0000-0000DD0A0000}"/>
    <cellStyle name="Comma 2 8" xfId="2995" xr:uid="{00000000-0005-0000-0000-0000DE0A0000}"/>
    <cellStyle name="Comma 2 9" xfId="2996" xr:uid="{00000000-0005-0000-0000-0000DF0A0000}"/>
    <cellStyle name="Comma 2 9 2" xfId="2997" xr:uid="{00000000-0005-0000-0000-0000E00A0000}"/>
    <cellStyle name="Comma 2*" xfId="2998" xr:uid="{00000000-0005-0000-0000-0000E10A0000}"/>
    <cellStyle name="Comma 2_Bally Total Fitness LBO v4.4" xfId="2999" xr:uid="{00000000-0005-0000-0000-0000E20A0000}"/>
    <cellStyle name="Comma 20" xfId="54" xr:uid="{00000000-0005-0000-0000-0000E30A0000}"/>
    <cellStyle name="Comma 20 2" xfId="3000" xr:uid="{00000000-0005-0000-0000-0000E40A0000}"/>
    <cellStyle name="Comma 21" xfId="55" xr:uid="{00000000-0005-0000-0000-0000E50A0000}"/>
    <cellStyle name="Comma 21 2" xfId="3001" xr:uid="{00000000-0005-0000-0000-0000E60A0000}"/>
    <cellStyle name="Comma 22" xfId="56" xr:uid="{00000000-0005-0000-0000-0000E70A0000}"/>
    <cellStyle name="Comma 23" xfId="57" xr:uid="{00000000-0005-0000-0000-0000E80A0000}"/>
    <cellStyle name="Comma 23 2" xfId="3002" xr:uid="{00000000-0005-0000-0000-0000E90A0000}"/>
    <cellStyle name="Comma 24" xfId="58" xr:uid="{00000000-0005-0000-0000-0000EA0A0000}"/>
    <cellStyle name="Comma 24 2" xfId="3003" xr:uid="{00000000-0005-0000-0000-0000EB0A0000}"/>
    <cellStyle name="Comma 25" xfId="59" xr:uid="{00000000-0005-0000-0000-0000EC0A0000}"/>
    <cellStyle name="Comma 25 2" xfId="3004" xr:uid="{00000000-0005-0000-0000-0000ED0A0000}"/>
    <cellStyle name="Comma 26" xfId="60" xr:uid="{00000000-0005-0000-0000-0000EE0A0000}"/>
    <cellStyle name="Comma 26 2" xfId="3005" xr:uid="{00000000-0005-0000-0000-0000EF0A0000}"/>
    <cellStyle name="Comma 27" xfId="61" xr:uid="{00000000-0005-0000-0000-0000F00A0000}"/>
    <cellStyle name="Comma 27 2" xfId="3006" xr:uid="{00000000-0005-0000-0000-0000F10A0000}"/>
    <cellStyle name="Comma 28" xfId="62" xr:uid="{00000000-0005-0000-0000-0000F20A0000}"/>
    <cellStyle name="Comma 28 2" xfId="3007" xr:uid="{00000000-0005-0000-0000-0000F30A0000}"/>
    <cellStyle name="Comma 29" xfId="63" xr:uid="{00000000-0005-0000-0000-0000F40A0000}"/>
    <cellStyle name="Comma 29 2" xfId="3008" xr:uid="{00000000-0005-0000-0000-0000F50A0000}"/>
    <cellStyle name="Comma 3" xfId="64" xr:uid="{00000000-0005-0000-0000-0000F60A0000}"/>
    <cellStyle name="Comma 3 2" xfId="65" xr:uid="{00000000-0005-0000-0000-0000F70A0000}"/>
    <cellStyle name="Comma 3 2 2" xfId="66" xr:uid="{00000000-0005-0000-0000-0000F80A0000}"/>
    <cellStyle name="Comma 3 2 2 2" xfId="3009" xr:uid="{00000000-0005-0000-0000-0000F90A0000}"/>
    <cellStyle name="Comma 3 2 2 2 2" xfId="3010" xr:uid="{00000000-0005-0000-0000-0000FA0A0000}"/>
    <cellStyle name="Comma 3 2 2 2 2 2" xfId="3011" xr:uid="{00000000-0005-0000-0000-0000FB0A0000}"/>
    <cellStyle name="Comma 3 2 2 2 2 2 2" xfId="3012" xr:uid="{00000000-0005-0000-0000-0000FC0A0000}"/>
    <cellStyle name="Comma 3 2 2 2 2 2 2 2" xfId="3013" xr:uid="{00000000-0005-0000-0000-0000FD0A0000}"/>
    <cellStyle name="Comma 3 2 2 2 2 2 3" xfId="3014" xr:uid="{00000000-0005-0000-0000-0000FE0A0000}"/>
    <cellStyle name="Comma 3 2 2 2 2 2 3 2" xfId="3015" xr:uid="{00000000-0005-0000-0000-0000FF0A0000}"/>
    <cellStyle name="Comma 3 2 2 2 2 2 4" xfId="3016" xr:uid="{00000000-0005-0000-0000-0000000B0000}"/>
    <cellStyle name="Comma 3 2 2 2 2 3" xfId="3017" xr:uid="{00000000-0005-0000-0000-0000010B0000}"/>
    <cellStyle name="Comma 3 2 2 2 2 3 2" xfId="3018" xr:uid="{00000000-0005-0000-0000-0000020B0000}"/>
    <cellStyle name="Comma 3 2 2 2 2 3 2 2" xfId="3019" xr:uid="{00000000-0005-0000-0000-0000030B0000}"/>
    <cellStyle name="Comma 3 2 2 2 2 3 3" xfId="3020" xr:uid="{00000000-0005-0000-0000-0000040B0000}"/>
    <cellStyle name="Comma 3 2 2 2 2 4" xfId="3021" xr:uid="{00000000-0005-0000-0000-0000050B0000}"/>
    <cellStyle name="Comma 3 2 2 2 2 4 2" xfId="3022" xr:uid="{00000000-0005-0000-0000-0000060B0000}"/>
    <cellStyle name="Comma 3 2 2 2 2 5" xfId="3023" xr:uid="{00000000-0005-0000-0000-0000070B0000}"/>
    <cellStyle name="Comma 3 2 2 2 2 5 2" xfId="3024" xr:uid="{00000000-0005-0000-0000-0000080B0000}"/>
    <cellStyle name="Comma 3 2 2 2 2 6" xfId="3025" xr:uid="{00000000-0005-0000-0000-0000090B0000}"/>
    <cellStyle name="Comma 3 2 2 2 3" xfId="3026" xr:uid="{00000000-0005-0000-0000-00000A0B0000}"/>
    <cellStyle name="Comma 3 2 2 2 3 2" xfId="3027" xr:uid="{00000000-0005-0000-0000-00000B0B0000}"/>
    <cellStyle name="Comma 3 2 2 2 3 2 2" xfId="3028" xr:uid="{00000000-0005-0000-0000-00000C0B0000}"/>
    <cellStyle name="Comma 3 2 2 2 3 3" xfId="3029" xr:uid="{00000000-0005-0000-0000-00000D0B0000}"/>
    <cellStyle name="Comma 3 2 2 2 3 3 2" xfId="3030" xr:uid="{00000000-0005-0000-0000-00000E0B0000}"/>
    <cellStyle name="Comma 3 2 2 2 3 4" xfId="3031" xr:uid="{00000000-0005-0000-0000-00000F0B0000}"/>
    <cellStyle name="Comma 3 2 2 2 4" xfId="3032" xr:uid="{00000000-0005-0000-0000-0000100B0000}"/>
    <cellStyle name="Comma 3 2 2 2 4 2" xfId="3033" xr:uid="{00000000-0005-0000-0000-0000110B0000}"/>
    <cellStyle name="Comma 3 2 2 2 4 2 2" xfId="3034" xr:uid="{00000000-0005-0000-0000-0000120B0000}"/>
    <cellStyle name="Comma 3 2 2 2 4 3" xfId="3035" xr:uid="{00000000-0005-0000-0000-0000130B0000}"/>
    <cellStyle name="Comma 3 2 2 2 5" xfId="3036" xr:uid="{00000000-0005-0000-0000-0000140B0000}"/>
    <cellStyle name="Comma 3 2 2 2 5 2" xfId="3037" xr:uid="{00000000-0005-0000-0000-0000150B0000}"/>
    <cellStyle name="Comma 3 2 2 2 6" xfId="3038" xr:uid="{00000000-0005-0000-0000-0000160B0000}"/>
    <cellStyle name="Comma 3 2 2 2 6 2" xfId="3039" xr:uid="{00000000-0005-0000-0000-0000170B0000}"/>
    <cellStyle name="Comma 3 2 2 2 7" xfId="3040" xr:uid="{00000000-0005-0000-0000-0000180B0000}"/>
    <cellStyle name="Comma 3 2 2 3" xfId="3041" xr:uid="{00000000-0005-0000-0000-0000190B0000}"/>
    <cellStyle name="Comma 3 2 2 3 2" xfId="3042" xr:uid="{00000000-0005-0000-0000-00001A0B0000}"/>
    <cellStyle name="Comma 3 2 2 3 2 2" xfId="3043" xr:uid="{00000000-0005-0000-0000-00001B0B0000}"/>
    <cellStyle name="Comma 3 2 2 3 2 2 2" xfId="3044" xr:uid="{00000000-0005-0000-0000-00001C0B0000}"/>
    <cellStyle name="Comma 3 2 2 3 2 3" xfId="3045" xr:uid="{00000000-0005-0000-0000-00001D0B0000}"/>
    <cellStyle name="Comma 3 2 2 3 2 4" xfId="3046" xr:uid="{00000000-0005-0000-0000-00001E0B0000}"/>
    <cellStyle name="Comma 3 2 2 3 2 5" xfId="3047" xr:uid="{00000000-0005-0000-0000-00001F0B0000}"/>
    <cellStyle name="Comma 3 2 2 3 3" xfId="3048" xr:uid="{00000000-0005-0000-0000-0000200B0000}"/>
    <cellStyle name="Comma 3 2 2 3 3 2" xfId="3049" xr:uid="{00000000-0005-0000-0000-0000210B0000}"/>
    <cellStyle name="Comma 3 2 2 3 3 2 2" xfId="3050" xr:uid="{00000000-0005-0000-0000-0000220B0000}"/>
    <cellStyle name="Comma 3 2 2 3 3 3" xfId="3051" xr:uid="{00000000-0005-0000-0000-0000230B0000}"/>
    <cellStyle name="Comma 3 2 2 3 4" xfId="3052" xr:uid="{00000000-0005-0000-0000-0000240B0000}"/>
    <cellStyle name="Comma 3 2 2 3 4 2" xfId="3053" xr:uid="{00000000-0005-0000-0000-0000250B0000}"/>
    <cellStyle name="Comma 3 2 2 3 5" xfId="3054" xr:uid="{00000000-0005-0000-0000-0000260B0000}"/>
    <cellStyle name="Comma 3 2 2 3 6" xfId="3055" xr:uid="{00000000-0005-0000-0000-0000270B0000}"/>
    <cellStyle name="Comma 3 2 2 3 6 2" xfId="3056" xr:uid="{00000000-0005-0000-0000-0000280B0000}"/>
    <cellStyle name="Comma 3 2 2 4" xfId="3057" xr:uid="{00000000-0005-0000-0000-0000290B0000}"/>
    <cellStyle name="Comma 3 2 2 4 2" xfId="3058" xr:uid="{00000000-0005-0000-0000-00002A0B0000}"/>
    <cellStyle name="Comma 3 2 2 4 2 2" xfId="3059" xr:uid="{00000000-0005-0000-0000-00002B0B0000}"/>
    <cellStyle name="Comma 3 2 2 4 3" xfId="3060" xr:uid="{00000000-0005-0000-0000-00002C0B0000}"/>
    <cellStyle name="Comma 3 2 2 4 3 2" xfId="3061" xr:uid="{00000000-0005-0000-0000-00002D0B0000}"/>
    <cellStyle name="Comma 3 2 2 4 4" xfId="3062" xr:uid="{00000000-0005-0000-0000-00002E0B0000}"/>
    <cellStyle name="Comma 3 2 2 5" xfId="3063" xr:uid="{00000000-0005-0000-0000-00002F0B0000}"/>
    <cellStyle name="Comma 3 2 2 5 2" xfId="3064" xr:uid="{00000000-0005-0000-0000-0000300B0000}"/>
    <cellStyle name="Comma 3 2 2 5 2 2" xfId="3065" xr:uid="{00000000-0005-0000-0000-0000310B0000}"/>
    <cellStyle name="Comma 3 2 2 5 3" xfId="3066" xr:uid="{00000000-0005-0000-0000-0000320B0000}"/>
    <cellStyle name="Comma 3 2 2 6" xfId="3067" xr:uid="{00000000-0005-0000-0000-0000330B0000}"/>
    <cellStyle name="Comma 3 2 2 6 2" xfId="3068" xr:uid="{00000000-0005-0000-0000-0000340B0000}"/>
    <cellStyle name="Comma 3 2 2 7" xfId="3069" xr:uid="{00000000-0005-0000-0000-0000350B0000}"/>
    <cellStyle name="Comma 3 2 2 7 2" xfId="3070" xr:uid="{00000000-0005-0000-0000-0000360B0000}"/>
    <cellStyle name="Comma 3 2 2 8" xfId="3071" xr:uid="{00000000-0005-0000-0000-0000370B0000}"/>
    <cellStyle name="Comma 3 2 3" xfId="3072" xr:uid="{00000000-0005-0000-0000-0000380B0000}"/>
    <cellStyle name="Comma 3 3" xfId="3073" xr:uid="{00000000-0005-0000-0000-0000390B0000}"/>
    <cellStyle name="Comma 3 3 2" xfId="3074" xr:uid="{00000000-0005-0000-0000-00003A0B0000}"/>
    <cellStyle name="Comma 3 3 2 2" xfId="3075" xr:uid="{00000000-0005-0000-0000-00003B0B0000}"/>
    <cellStyle name="Comma 3 4" xfId="3076" xr:uid="{00000000-0005-0000-0000-00003C0B0000}"/>
    <cellStyle name="Comma 3*" xfId="3077" xr:uid="{00000000-0005-0000-0000-00003D0B0000}"/>
    <cellStyle name="Comma 30" xfId="67" xr:uid="{00000000-0005-0000-0000-00003E0B0000}"/>
    <cellStyle name="Comma 30 2" xfId="3078" xr:uid="{00000000-0005-0000-0000-00003F0B0000}"/>
    <cellStyle name="Comma 31" xfId="68" xr:uid="{00000000-0005-0000-0000-0000400B0000}"/>
    <cellStyle name="Comma 31 2" xfId="3079" xr:uid="{00000000-0005-0000-0000-0000410B0000}"/>
    <cellStyle name="Comma 32" xfId="69" xr:uid="{00000000-0005-0000-0000-0000420B0000}"/>
    <cellStyle name="Comma 32 2" xfId="3080" xr:uid="{00000000-0005-0000-0000-0000430B0000}"/>
    <cellStyle name="Comma 33" xfId="279" xr:uid="{00000000-0005-0000-0000-0000440B0000}"/>
    <cellStyle name="Comma 34" xfId="3081" xr:uid="{00000000-0005-0000-0000-0000450B0000}"/>
    <cellStyle name="Comma 34 2" xfId="3082" xr:uid="{00000000-0005-0000-0000-0000460B0000}"/>
    <cellStyle name="Comma 35" xfId="3083" xr:uid="{00000000-0005-0000-0000-0000470B0000}"/>
    <cellStyle name="Comma 35 2" xfId="3084" xr:uid="{00000000-0005-0000-0000-0000480B0000}"/>
    <cellStyle name="Comma 36" xfId="3085" xr:uid="{00000000-0005-0000-0000-0000490B0000}"/>
    <cellStyle name="Comma 37" xfId="3086" xr:uid="{00000000-0005-0000-0000-00004A0B0000}"/>
    <cellStyle name="Comma 38" xfId="3087" xr:uid="{00000000-0005-0000-0000-00004B0B0000}"/>
    <cellStyle name="Comma 38 2" xfId="3088" xr:uid="{00000000-0005-0000-0000-00004C0B0000}"/>
    <cellStyle name="Comma 39" xfId="3089" xr:uid="{00000000-0005-0000-0000-00004D0B0000}"/>
    <cellStyle name="Comma 39 2" xfId="3090" xr:uid="{00000000-0005-0000-0000-00004E0B0000}"/>
    <cellStyle name="Comma 39 2 2" xfId="3091" xr:uid="{00000000-0005-0000-0000-00004F0B0000}"/>
    <cellStyle name="Comma 39 3" xfId="3092" xr:uid="{00000000-0005-0000-0000-0000500B0000}"/>
    <cellStyle name="Comma 4" xfId="70" xr:uid="{00000000-0005-0000-0000-0000510B0000}"/>
    <cellStyle name="Comma 4 2" xfId="71" xr:uid="{00000000-0005-0000-0000-0000520B0000}"/>
    <cellStyle name="Comma 4 2 2" xfId="3093" xr:uid="{00000000-0005-0000-0000-0000530B0000}"/>
    <cellStyle name="Comma 4 2 2 2" xfId="3094" xr:uid="{00000000-0005-0000-0000-0000540B0000}"/>
    <cellStyle name="Comma 4 2 2 3" xfId="3095" xr:uid="{00000000-0005-0000-0000-0000550B0000}"/>
    <cellStyle name="Comma 4 3" xfId="3096" xr:uid="{00000000-0005-0000-0000-0000560B0000}"/>
    <cellStyle name="Comma 4 3 2" xfId="3097" xr:uid="{00000000-0005-0000-0000-0000570B0000}"/>
    <cellStyle name="Comma 4 3 2 2" xfId="3098" xr:uid="{00000000-0005-0000-0000-0000580B0000}"/>
    <cellStyle name="Comma 4 3 3" xfId="3099" xr:uid="{00000000-0005-0000-0000-0000590B0000}"/>
    <cellStyle name="Comma 4 3 3 2" xfId="3100" xr:uid="{00000000-0005-0000-0000-00005A0B0000}"/>
    <cellStyle name="Comma 4 4" xfId="3101" xr:uid="{00000000-0005-0000-0000-00005B0B0000}"/>
    <cellStyle name="Comma 4 4 2" xfId="3102" xr:uid="{00000000-0005-0000-0000-00005C0B0000}"/>
    <cellStyle name="Comma 4 5" xfId="3103" xr:uid="{00000000-0005-0000-0000-00005D0B0000}"/>
    <cellStyle name="Comma 4 6" xfId="3104" xr:uid="{00000000-0005-0000-0000-00005E0B0000}"/>
    <cellStyle name="Comma 40" xfId="3105" xr:uid="{00000000-0005-0000-0000-00005F0B0000}"/>
    <cellStyle name="Comma 40 2" xfId="3106" xr:uid="{00000000-0005-0000-0000-0000600B0000}"/>
    <cellStyle name="Comma 41" xfId="3107" xr:uid="{00000000-0005-0000-0000-0000610B0000}"/>
    <cellStyle name="Comma 42" xfId="3108" xr:uid="{00000000-0005-0000-0000-0000620B0000}"/>
    <cellStyle name="Comma 42 2" xfId="3109" xr:uid="{00000000-0005-0000-0000-0000630B0000}"/>
    <cellStyle name="Comma 43" xfId="3110" xr:uid="{00000000-0005-0000-0000-0000640B0000}"/>
    <cellStyle name="Comma 44" xfId="3111" xr:uid="{00000000-0005-0000-0000-0000650B0000}"/>
    <cellStyle name="Comma 45" xfId="3112" xr:uid="{00000000-0005-0000-0000-0000660B0000}"/>
    <cellStyle name="Comma 46" xfId="3113" xr:uid="{00000000-0005-0000-0000-0000670B0000}"/>
    <cellStyle name="Comma 47" xfId="3114" xr:uid="{00000000-0005-0000-0000-0000680B0000}"/>
    <cellStyle name="Comma 48" xfId="3115" xr:uid="{00000000-0005-0000-0000-0000690B0000}"/>
    <cellStyle name="Comma 49" xfId="3116" xr:uid="{00000000-0005-0000-0000-00006A0B0000}"/>
    <cellStyle name="Comma 5" xfId="72" xr:uid="{00000000-0005-0000-0000-00006B0B0000}"/>
    <cellStyle name="Comma 5 2" xfId="73" xr:uid="{00000000-0005-0000-0000-00006C0B0000}"/>
    <cellStyle name="Comma 5 2 2" xfId="74" xr:uid="{00000000-0005-0000-0000-00006D0B0000}"/>
    <cellStyle name="Comma 5 2 2 2" xfId="3117" xr:uid="{00000000-0005-0000-0000-00006E0B0000}"/>
    <cellStyle name="Comma 5 2 3" xfId="3118" xr:uid="{00000000-0005-0000-0000-00006F0B0000}"/>
    <cellStyle name="Comma 5 2 3 2" xfId="3119" xr:uid="{00000000-0005-0000-0000-0000700B0000}"/>
    <cellStyle name="Comma 5 2 3 2 2" xfId="3120" xr:uid="{00000000-0005-0000-0000-0000710B0000}"/>
    <cellStyle name="Comma 5 2 3 2 2 2" xfId="3121" xr:uid="{00000000-0005-0000-0000-0000720B0000}"/>
    <cellStyle name="Comma 5 2 3 2 3" xfId="3122" xr:uid="{00000000-0005-0000-0000-0000730B0000}"/>
    <cellStyle name="Comma 5 2 3 2 3 2" xfId="3123" xr:uid="{00000000-0005-0000-0000-0000740B0000}"/>
    <cellStyle name="Comma 5 2 3 2 4" xfId="3124" xr:uid="{00000000-0005-0000-0000-0000750B0000}"/>
    <cellStyle name="Comma 5 2 3 3" xfId="3125" xr:uid="{00000000-0005-0000-0000-0000760B0000}"/>
    <cellStyle name="Comma 5 2 3 3 2" xfId="3126" xr:uid="{00000000-0005-0000-0000-0000770B0000}"/>
    <cellStyle name="Comma 5 2 3 3 2 2" xfId="3127" xr:uid="{00000000-0005-0000-0000-0000780B0000}"/>
    <cellStyle name="Comma 5 2 3 3 3" xfId="3128" xr:uid="{00000000-0005-0000-0000-0000790B0000}"/>
    <cellStyle name="Comma 5 2 3 4" xfId="3129" xr:uid="{00000000-0005-0000-0000-00007A0B0000}"/>
    <cellStyle name="Comma 5 2 3 4 2" xfId="3130" xr:uid="{00000000-0005-0000-0000-00007B0B0000}"/>
    <cellStyle name="Comma 5 2 3 5" xfId="3131" xr:uid="{00000000-0005-0000-0000-00007C0B0000}"/>
    <cellStyle name="Comma 5 2 3 5 2" xfId="3132" xr:uid="{00000000-0005-0000-0000-00007D0B0000}"/>
    <cellStyle name="Comma 5 2 3 6" xfId="3133" xr:uid="{00000000-0005-0000-0000-00007E0B0000}"/>
    <cellStyle name="Comma 5 2 4" xfId="3134" xr:uid="{00000000-0005-0000-0000-00007F0B0000}"/>
    <cellStyle name="Comma 5 2 4 2" xfId="3135" xr:uid="{00000000-0005-0000-0000-0000800B0000}"/>
    <cellStyle name="Comma 5 2 4 2 2" xfId="3136" xr:uid="{00000000-0005-0000-0000-0000810B0000}"/>
    <cellStyle name="Comma 5 2 4 3" xfId="3137" xr:uid="{00000000-0005-0000-0000-0000820B0000}"/>
    <cellStyle name="Comma 5 2 4 3 2" xfId="3138" xr:uid="{00000000-0005-0000-0000-0000830B0000}"/>
    <cellStyle name="Comma 5 2 4 4" xfId="3139" xr:uid="{00000000-0005-0000-0000-0000840B0000}"/>
    <cellStyle name="Comma 5 2 5" xfId="3140" xr:uid="{00000000-0005-0000-0000-0000850B0000}"/>
    <cellStyle name="Comma 5 2 5 2" xfId="3141" xr:uid="{00000000-0005-0000-0000-0000860B0000}"/>
    <cellStyle name="Comma 5 2 5 2 2" xfId="3142" xr:uid="{00000000-0005-0000-0000-0000870B0000}"/>
    <cellStyle name="Comma 5 2 5 3" xfId="3143" xr:uid="{00000000-0005-0000-0000-0000880B0000}"/>
    <cellStyle name="Comma 5 2 6" xfId="3144" xr:uid="{00000000-0005-0000-0000-0000890B0000}"/>
    <cellStyle name="Comma 5 2 6 2" xfId="3145" xr:uid="{00000000-0005-0000-0000-00008A0B0000}"/>
    <cellStyle name="Comma 5 2 7" xfId="3146" xr:uid="{00000000-0005-0000-0000-00008B0B0000}"/>
    <cellStyle name="Comma 5 2 7 2" xfId="3147" xr:uid="{00000000-0005-0000-0000-00008C0B0000}"/>
    <cellStyle name="Comma 5 2 8" xfId="3148" xr:uid="{00000000-0005-0000-0000-00008D0B0000}"/>
    <cellStyle name="Comma 5 3" xfId="75" xr:uid="{00000000-0005-0000-0000-00008E0B0000}"/>
    <cellStyle name="Comma 5 3 2" xfId="3149" xr:uid="{00000000-0005-0000-0000-00008F0B0000}"/>
    <cellStyle name="Comma 5 3 2 2" xfId="3150" xr:uid="{00000000-0005-0000-0000-0000900B0000}"/>
    <cellStyle name="Comma 5 3 2 2 2" xfId="3151" xr:uid="{00000000-0005-0000-0000-0000910B0000}"/>
    <cellStyle name="Comma 5 3 2 3" xfId="3152" xr:uid="{00000000-0005-0000-0000-0000920B0000}"/>
    <cellStyle name="Comma 5 3 3" xfId="3153" xr:uid="{00000000-0005-0000-0000-0000930B0000}"/>
    <cellStyle name="Comma 5 3 3 2" xfId="3154" xr:uid="{00000000-0005-0000-0000-0000940B0000}"/>
    <cellStyle name="Comma 5 4" xfId="76" xr:uid="{00000000-0005-0000-0000-0000950B0000}"/>
    <cellStyle name="Comma 5 4 2" xfId="3155" xr:uid="{00000000-0005-0000-0000-0000960B0000}"/>
    <cellStyle name="Comma 5 5" xfId="3156" xr:uid="{00000000-0005-0000-0000-0000970B0000}"/>
    <cellStyle name="Comma 50" xfId="3157" xr:uid="{00000000-0005-0000-0000-0000980B0000}"/>
    <cellStyle name="Comma 51" xfId="3158" xr:uid="{00000000-0005-0000-0000-0000990B0000}"/>
    <cellStyle name="Comma 52" xfId="3159" xr:uid="{00000000-0005-0000-0000-00009A0B0000}"/>
    <cellStyle name="Comma 53" xfId="3160" xr:uid="{00000000-0005-0000-0000-00009B0B0000}"/>
    <cellStyle name="Comma 53 2" xfId="3161" xr:uid="{00000000-0005-0000-0000-00009C0B0000}"/>
    <cellStyle name="Comma 53 2 2" xfId="3162" xr:uid="{00000000-0005-0000-0000-00009D0B0000}"/>
    <cellStyle name="Comma 53 2 2 2" xfId="3163" xr:uid="{00000000-0005-0000-0000-00009E0B0000}"/>
    <cellStyle name="Comma 53 2 2 2 2" xfId="3164" xr:uid="{00000000-0005-0000-0000-00009F0B0000}"/>
    <cellStyle name="Comma 53 2 2 2 2 2" xfId="3165" xr:uid="{00000000-0005-0000-0000-0000A00B0000}"/>
    <cellStyle name="Comma 53 2 2 2 3" xfId="3166" xr:uid="{00000000-0005-0000-0000-0000A10B0000}"/>
    <cellStyle name="Comma 53 2 2 2 3 2" xfId="3167" xr:uid="{00000000-0005-0000-0000-0000A20B0000}"/>
    <cellStyle name="Comma 53 2 2 2 4" xfId="3168" xr:uid="{00000000-0005-0000-0000-0000A30B0000}"/>
    <cellStyle name="Comma 53 2 2 3" xfId="3169" xr:uid="{00000000-0005-0000-0000-0000A40B0000}"/>
    <cellStyle name="Comma 53 2 2 3 2" xfId="3170" xr:uid="{00000000-0005-0000-0000-0000A50B0000}"/>
    <cellStyle name="Comma 53 2 2 3 2 2" xfId="3171" xr:uid="{00000000-0005-0000-0000-0000A60B0000}"/>
    <cellStyle name="Comma 53 2 2 3 3" xfId="3172" xr:uid="{00000000-0005-0000-0000-0000A70B0000}"/>
    <cellStyle name="Comma 53 2 2 4" xfId="3173" xr:uid="{00000000-0005-0000-0000-0000A80B0000}"/>
    <cellStyle name="Comma 53 2 2 4 2" xfId="3174" xr:uid="{00000000-0005-0000-0000-0000A90B0000}"/>
    <cellStyle name="Comma 53 2 2 5" xfId="3175" xr:uid="{00000000-0005-0000-0000-0000AA0B0000}"/>
    <cellStyle name="Comma 53 2 2 5 2" xfId="3176" xr:uid="{00000000-0005-0000-0000-0000AB0B0000}"/>
    <cellStyle name="Comma 53 2 2 6" xfId="3177" xr:uid="{00000000-0005-0000-0000-0000AC0B0000}"/>
    <cellStyle name="Comma 53 2 3" xfId="3178" xr:uid="{00000000-0005-0000-0000-0000AD0B0000}"/>
    <cellStyle name="Comma 53 2 3 2" xfId="3179" xr:uid="{00000000-0005-0000-0000-0000AE0B0000}"/>
    <cellStyle name="Comma 53 2 3 2 2" xfId="3180" xr:uid="{00000000-0005-0000-0000-0000AF0B0000}"/>
    <cellStyle name="Comma 53 2 3 3" xfId="3181" xr:uid="{00000000-0005-0000-0000-0000B00B0000}"/>
    <cellStyle name="Comma 53 2 3 3 2" xfId="3182" xr:uid="{00000000-0005-0000-0000-0000B10B0000}"/>
    <cellStyle name="Comma 53 2 3 4" xfId="3183" xr:uid="{00000000-0005-0000-0000-0000B20B0000}"/>
    <cellStyle name="Comma 53 2 4" xfId="3184" xr:uid="{00000000-0005-0000-0000-0000B30B0000}"/>
    <cellStyle name="Comma 53 2 4 2" xfId="3185" xr:uid="{00000000-0005-0000-0000-0000B40B0000}"/>
    <cellStyle name="Comma 53 2 4 2 2" xfId="3186" xr:uid="{00000000-0005-0000-0000-0000B50B0000}"/>
    <cellStyle name="Comma 53 2 4 3" xfId="3187" xr:uid="{00000000-0005-0000-0000-0000B60B0000}"/>
    <cellStyle name="Comma 53 2 5" xfId="3188" xr:uid="{00000000-0005-0000-0000-0000B70B0000}"/>
    <cellStyle name="Comma 53 2 5 2" xfId="3189" xr:uid="{00000000-0005-0000-0000-0000B80B0000}"/>
    <cellStyle name="Comma 53 2 6" xfId="3190" xr:uid="{00000000-0005-0000-0000-0000B90B0000}"/>
    <cellStyle name="Comma 53 2 6 2" xfId="3191" xr:uid="{00000000-0005-0000-0000-0000BA0B0000}"/>
    <cellStyle name="Comma 53 2 7" xfId="3192" xr:uid="{00000000-0005-0000-0000-0000BB0B0000}"/>
    <cellStyle name="Comma 53 3" xfId="3193" xr:uid="{00000000-0005-0000-0000-0000BC0B0000}"/>
    <cellStyle name="Comma 53 3 2" xfId="3194" xr:uid="{00000000-0005-0000-0000-0000BD0B0000}"/>
    <cellStyle name="Comma 53 3 2 2" xfId="3195" xr:uid="{00000000-0005-0000-0000-0000BE0B0000}"/>
    <cellStyle name="Comma 53 3 2 2 2" xfId="3196" xr:uid="{00000000-0005-0000-0000-0000BF0B0000}"/>
    <cellStyle name="Comma 53 3 2 3" xfId="3197" xr:uid="{00000000-0005-0000-0000-0000C00B0000}"/>
    <cellStyle name="Comma 53 3 2 3 2" xfId="3198" xr:uid="{00000000-0005-0000-0000-0000C10B0000}"/>
    <cellStyle name="Comma 53 3 2 4" xfId="3199" xr:uid="{00000000-0005-0000-0000-0000C20B0000}"/>
    <cellStyle name="Comma 53 3 3" xfId="3200" xr:uid="{00000000-0005-0000-0000-0000C30B0000}"/>
    <cellStyle name="Comma 53 3 3 2" xfId="3201" xr:uid="{00000000-0005-0000-0000-0000C40B0000}"/>
    <cellStyle name="Comma 53 3 3 2 2" xfId="3202" xr:uid="{00000000-0005-0000-0000-0000C50B0000}"/>
    <cellStyle name="Comma 53 3 3 3" xfId="3203" xr:uid="{00000000-0005-0000-0000-0000C60B0000}"/>
    <cellStyle name="Comma 53 3 4" xfId="3204" xr:uid="{00000000-0005-0000-0000-0000C70B0000}"/>
    <cellStyle name="Comma 53 3 4 2" xfId="3205" xr:uid="{00000000-0005-0000-0000-0000C80B0000}"/>
    <cellStyle name="Comma 53 3 5" xfId="3206" xr:uid="{00000000-0005-0000-0000-0000C90B0000}"/>
    <cellStyle name="Comma 53 3 5 2" xfId="3207" xr:uid="{00000000-0005-0000-0000-0000CA0B0000}"/>
    <cellStyle name="Comma 53 3 6" xfId="3208" xr:uid="{00000000-0005-0000-0000-0000CB0B0000}"/>
    <cellStyle name="Comma 53 4" xfId="3209" xr:uid="{00000000-0005-0000-0000-0000CC0B0000}"/>
    <cellStyle name="Comma 53 4 2" xfId="3210" xr:uid="{00000000-0005-0000-0000-0000CD0B0000}"/>
    <cellStyle name="Comma 53 4 2 2" xfId="3211" xr:uid="{00000000-0005-0000-0000-0000CE0B0000}"/>
    <cellStyle name="Comma 53 4 3" xfId="3212" xr:uid="{00000000-0005-0000-0000-0000CF0B0000}"/>
    <cellStyle name="Comma 53 4 3 2" xfId="3213" xr:uid="{00000000-0005-0000-0000-0000D00B0000}"/>
    <cellStyle name="Comma 53 4 4" xfId="3214" xr:uid="{00000000-0005-0000-0000-0000D10B0000}"/>
    <cellStyle name="Comma 53 5" xfId="3215" xr:uid="{00000000-0005-0000-0000-0000D20B0000}"/>
    <cellStyle name="Comma 53 5 2" xfId="3216" xr:uid="{00000000-0005-0000-0000-0000D30B0000}"/>
    <cellStyle name="Comma 53 5 2 2" xfId="3217" xr:uid="{00000000-0005-0000-0000-0000D40B0000}"/>
    <cellStyle name="Comma 53 5 3" xfId="3218" xr:uid="{00000000-0005-0000-0000-0000D50B0000}"/>
    <cellStyle name="Comma 53 6" xfId="3219" xr:uid="{00000000-0005-0000-0000-0000D60B0000}"/>
    <cellStyle name="Comma 53 6 2" xfId="3220" xr:uid="{00000000-0005-0000-0000-0000D70B0000}"/>
    <cellStyle name="Comma 53 7" xfId="3221" xr:uid="{00000000-0005-0000-0000-0000D80B0000}"/>
    <cellStyle name="Comma 53 7 2" xfId="3222" xr:uid="{00000000-0005-0000-0000-0000D90B0000}"/>
    <cellStyle name="Comma 53 8" xfId="3223" xr:uid="{00000000-0005-0000-0000-0000DA0B0000}"/>
    <cellStyle name="Comma 54" xfId="3224" xr:uid="{00000000-0005-0000-0000-0000DB0B0000}"/>
    <cellStyle name="Comma 54 2" xfId="3225" xr:uid="{00000000-0005-0000-0000-0000DC0B0000}"/>
    <cellStyle name="Comma 54 2 2" xfId="3226" xr:uid="{00000000-0005-0000-0000-0000DD0B0000}"/>
    <cellStyle name="Comma 54 2 2 2" xfId="3227" xr:uid="{00000000-0005-0000-0000-0000DE0B0000}"/>
    <cellStyle name="Comma 54 2 2 2 2" xfId="3228" xr:uid="{00000000-0005-0000-0000-0000DF0B0000}"/>
    <cellStyle name="Comma 54 2 2 2 2 2" xfId="3229" xr:uid="{00000000-0005-0000-0000-0000E00B0000}"/>
    <cellStyle name="Comma 54 2 2 2 3" xfId="3230" xr:uid="{00000000-0005-0000-0000-0000E10B0000}"/>
    <cellStyle name="Comma 54 2 2 2 3 2" xfId="3231" xr:uid="{00000000-0005-0000-0000-0000E20B0000}"/>
    <cellStyle name="Comma 54 2 2 2 4" xfId="3232" xr:uid="{00000000-0005-0000-0000-0000E30B0000}"/>
    <cellStyle name="Comma 54 2 2 3" xfId="3233" xr:uid="{00000000-0005-0000-0000-0000E40B0000}"/>
    <cellStyle name="Comma 54 2 2 3 2" xfId="3234" xr:uid="{00000000-0005-0000-0000-0000E50B0000}"/>
    <cellStyle name="Comma 54 2 2 3 2 2" xfId="3235" xr:uid="{00000000-0005-0000-0000-0000E60B0000}"/>
    <cellStyle name="Comma 54 2 2 3 3" xfId="3236" xr:uid="{00000000-0005-0000-0000-0000E70B0000}"/>
    <cellStyle name="Comma 54 2 2 4" xfId="3237" xr:uid="{00000000-0005-0000-0000-0000E80B0000}"/>
    <cellStyle name="Comma 54 2 2 4 2" xfId="3238" xr:uid="{00000000-0005-0000-0000-0000E90B0000}"/>
    <cellStyle name="Comma 54 2 2 5" xfId="3239" xr:uid="{00000000-0005-0000-0000-0000EA0B0000}"/>
    <cellStyle name="Comma 54 2 2 5 2" xfId="3240" xr:uid="{00000000-0005-0000-0000-0000EB0B0000}"/>
    <cellStyle name="Comma 54 2 2 6" xfId="3241" xr:uid="{00000000-0005-0000-0000-0000EC0B0000}"/>
    <cellStyle name="Comma 54 2 3" xfId="3242" xr:uid="{00000000-0005-0000-0000-0000ED0B0000}"/>
    <cellStyle name="Comma 54 2 3 2" xfId="3243" xr:uid="{00000000-0005-0000-0000-0000EE0B0000}"/>
    <cellStyle name="Comma 54 2 3 2 2" xfId="3244" xr:uid="{00000000-0005-0000-0000-0000EF0B0000}"/>
    <cellStyle name="Comma 54 2 3 3" xfId="3245" xr:uid="{00000000-0005-0000-0000-0000F00B0000}"/>
    <cellStyle name="Comma 54 2 3 3 2" xfId="3246" xr:uid="{00000000-0005-0000-0000-0000F10B0000}"/>
    <cellStyle name="Comma 54 2 3 4" xfId="3247" xr:uid="{00000000-0005-0000-0000-0000F20B0000}"/>
    <cellStyle name="Comma 54 2 4" xfId="3248" xr:uid="{00000000-0005-0000-0000-0000F30B0000}"/>
    <cellStyle name="Comma 54 2 4 2" xfId="3249" xr:uid="{00000000-0005-0000-0000-0000F40B0000}"/>
    <cellStyle name="Comma 54 2 4 2 2" xfId="3250" xr:uid="{00000000-0005-0000-0000-0000F50B0000}"/>
    <cellStyle name="Comma 54 2 4 3" xfId="3251" xr:uid="{00000000-0005-0000-0000-0000F60B0000}"/>
    <cellStyle name="Comma 54 2 5" xfId="3252" xr:uid="{00000000-0005-0000-0000-0000F70B0000}"/>
    <cellStyle name="Comma 54 2 5 2" xfId="3253" xr:uid="{00000000-0005-0000-0000-0000F80B0000}"/>
    <cellStyle name="Comma 54 2 6" xfId="3254" xr:uid="{00000000-0005-0000-0000-0000F90B0000}"/>
    <cellStyle name="Comma 54 2 6 2" xfId="3255" xr:uid="{00000000-0005-0000-0000-0000FA0B0000}"/>
    <cellStyle name="Comma 54 2 7" xfId="3256" xr:uid="{00000000-0005-0000-0000-0000FB0B0000}"/>
    <cellStyle name="Comma 54 3" xfId="3257" xr:uid="{00000000-0005-0000-0000-0000FC0B0000}"/>
    <cellStyle name="Comma 54 3 2" xfId="3258" xr:uid="{00000000-0005-0000-0000-0000FD0B0000}"/>
    <cellStyle name="Comma 54 3 2 2" xfId="3259" xr:uid="{00000000-0005-0000-0000-0000FE0B0000}"/>
    <cellStyle name="Comma 54 3 2 2 2" xfId="3260" xr:uid="{00000000-0005-0000-0000-0000FF0B0000}"/>
    <cellStyle name="Comma 54 3 2 3" xfId="3261" xr:uid="{00000000-0005-0000-0000-0000000C0000}"/>
    <cellStyle name="Comma 54 3 2 3 2" xfId="3262" xr:uid="{00000000-0005-0000-0000-0000010C0000}"/>
    <cellStyle name="Comma 54 3 2 4" xfId="3263" xr:uid="{00000000-0005-0000-0000-0000020C0000}"/>
    <cellStyle name="Comma 54 3 3" xfId="3264" xr:uid="{00000000-0005-0000-0000-0000030C0000}"/>
    <cellStyle name="Comma 54 3 3 2" xfId="3265" xr:uid="{00000000-0005-0000-0000-0000040C0000}"/>
    <cellStyle name="Comma 54 3 3 2 2" xfId="3266" xr:uid="{00000000-0005-0000-0000-0000050C0000}"/>
    <cellStyle name="Comma 54 3 3 3" xfId="3267" xr:uid="{00000000-0005-0000-0000-0000060C0000}"/>
    <cellStyle name="Comma 54 3 4" xfId="3268" xr:uid="{00000000-0005-0000-0000-0000070C0000}"/>
    <cellStyle name="Comma 54 3 4 2" xfId="3269" xr:uid="{00000000-0005-0000-0000-0000080C0000}"/>
    <cellStyle name="Comma 54 3 5" xfId="3270" xr:uid="{00000000-0005-0000-0000-0000090C0000}"/>
    <cellStyle name="Comma 54 3 5 2" xfId="3271" xr:uid="{00000000-0005-0000-0000-00000A0C0000}"/>
    <cellStyle name="Comma 54 3 6" xfId="3272" xr:uid="{00000000-0005-0000-0000-00000B0C0000}"/>
    <cellStyle name="Comma 54 4" xfId="3273" xr:uid="{00000000-0005-0000-0000-00000C0C0000}"/>
    <cellStyle name="Comma 54 4 2" xfId="3274" xr:uid="{00000000-0005-0000-0000-00000D0C0000}"/>
    <cellStyle name="Comma 54 4 2 2" xfId="3275" xr:uid="{00000000-0005-0000-0000-00000E0C0000}"/>
    <cellStyle name="Comma 54 4 3" xfId="3276" xr:uid="{00000000-0005-0000-0000-00000F0C0000}"/>
    <cellStyle name="Comma 54 4 3 2" xfId="3277" xr:uid="{00000000-0005-0000-0000-0000100C0000}"/>
    <cellStyle name="Comma 54 4 4" xfId="3278" xr:uid="{00000000-0005-0000-0000-0000110C0000}"/>
    <cellStyle name="Comma 54 5" xfId="3279" xr:uid="{00000000-0005-0000-0000-0000120C0000}"/>
    <cellStyle name="Comma 54 5 2" xfId="3280" xr:uid="{00000000-0005-0000-0000-0000130C0000}"/>
    <cellStyle name="Comma 54 5 2 2" xfId="3281" xr:uid="{00000000-0005-0000-0000-0000140C0000}"/>
    <cellStyle name="Comma 54 5 3" xfId="3282" xr:uid="{00000000-0005-0000-0000-0000150C0000}"/>
    <cellStyle name="Comma 54 6" xfId="3283" xr:uid="{00000000-0005-0000-0000-0000160C0000}"/>
    <cellStyle name="Comma 54 6 2" xfId="3284" xr:uid="{00000000-0005-0000-0000-0000170C0000}"/>
    <cellStyle name="Comma 54 7" xfId="3285" xr:uid="{00000000-0005-0000-0000-0000180C0000}"/>
    <cellStyle name="Comma 54 7 2" xfId="3286" xr:uid="{00000000-0005-0000-0000-0000190C0000}"/>
    <cellStyle name="Comma 54 8" xfId="3287" xr:uid="{00000000-0005-0000-0000-00001A0C0000}"/>
    <cellStyle name="Comma 55" xfId="3288" xr:uid="{00000000-0005-0000-0000-00001B0C0000}"/>
    <cellStyle name="Comma 55 2" xfId="3289" xr:uid="{00000000-0005-0000-0000-00001C0C0000}"/>
    <cellStyle name="Comma 55 2 2" xfId="3290" xr:uid="{00000000-0005-0000-0000-00001D0C0000}"/>
    <cellStyle name="Comma 55 2 2 2" xfId="3291" xr:uid="{00000000-0005-0000-0000-00001E0C0000}"/>
    <cellStyle name="Comma 55 2 2 2 2" xfId="3292" xr:uid="{00000000-0005-0000-0000-00001F0C0000}"/>
    <cellStyle name="Comma 55 2 2 2 2 2" xfId="3293" xr:uid="{00000000-0005-0000-0000-0000200C0000}"/>
    <cellStyle name="Comma 55 2 2 2 3" xfId="3294" xr:uid="{00000000-0005-0000-0000-0000210C0000}"/>
    <cellStyle name="Comma 55 2 2 2 3 2" xfId="3295" xr:uid="{00000000-0005-0000-0000-0000220C0000}"/>
    <cellStyle name="Comma 55 2 2 2 4" xfId="3296" xr:uid="{00000000-0005-0000-0000-0000230C0000}"/>
    <cellStyle name="Comma 55 2 2 3" xfId="3297" xr:uid="{00000000-0005-0000-0000-0000240C0000}"/>
    <cellStyle name="Comma 55 2 2 3 2" xfId="3298" xr:uid="{00000000-0005-0000-0000-0000250C0000}"/>
    <cellStyle name="Comma 55 2 2 3 2 2" xfId="3299" xr:uid="{00000000-0005-0000-0000-0000260C0000}"/>
    <cellStyle name="Comma 55 2 2 3 3" xfId="3300" xr:uid="{00000000-0005-0000-0000-0000270C0000}"/>
    <cellStyle name="Comma 55 2 2 4" xfId="3301" xr:uid="{00000000-0005-0000-0000-0000280C0000}"/>
    <cellStyle name="Comma 55 2 2 4 2" xfId="3302" xr:uid="{00000000-0005-0000-0000-0000290C0000}"/>
    <cellStyle name="Comma 55 2 2 5" xfId="3303" xr:uid="{00000000-0005-0000-0000-00002A0C0000}"/>
    <cellStyle name="Comma 55 2 2 5 2" xfId="3304" xr:uid="{00000000-0005-0000-0000-00002B0C0000}"/>
    <cellStyle name="Comma 55 2 2 6" xfId="3305" xr:uid="{00000000-0005-0000-0000-00002C0C0000}"/>
    <cellStyle name="Comma 55 2 3" xfId="3306" xr:uid="{00000000-0005-0000-0000-00002D0C0000}"/>
    <cellStyle name="Comma 55 2 3 2" xfId="3307" xr:uid="{00000000-0005-0000-0000-00002E0C0000}"/>
    <cellStyle name="Comma 55 2 3 2 2" xfId="3308" xr:uid="{00000000-0005-0000-0000-00002F0C0000}"/>
    <cellStyle name="Comma 55 2 3 3" xfId="3309" xr:uid="{00000000-0005-0000-0000-0000300C0000}"/>
    <cellStyle name="Comma 55 2 3 3 2" xfId="3310" xr:uid="{00000000-0005-0000-0000-0000310C0000}"/>
    <cellStyle name="Comma 55 2 3 4" xfId="3311" xr:uid="{00000000-0005-0000-0000-0000320C0000}"/>
    <cellStyle name="Comma 55 2 4" xfId="3312" xr:uid="{00000000-0005-0000-0000-0000330C0000}"/>
    <cellStyle name="Comma 55 2 4 2" xfId="3313" xr:uid="{00000000-0005-0000-0000-0000340C0000}"/>
    <cellStyle name="Comma 55 2 4 2 2" xfId="3314" xr:uid="{00000000-0005-0000-0000-0000350C0000}"/>
    <cellStyle name="Comma 55 2 4 3" xfId="3315" xr:uid="{00000000-0005-0000-0000-0000360C0000}"/>
    <cellStyle name="Comma 55 2 5" xfId="3316" xr:uid="{00000000-0005-0000-0000-0000370C0000}"/>
    <cellStyle name="Comma 55 2 5 2" xfId="3317" xr:uid="{00000000-0005-0000-0000-0000380C0000}"/>
    <cellStyle name="Comma 55 2 6" xfId="3318" xr:uid="{00000000-0005-0000-0000-0000390C0000}"/>
    <cellStyle name="Comma 55 2 6 2" xfId="3319" xr:uid="{00000000-0005-0000-0000-00003A0C0000}"/>
    <cellStyle name="Comma 55 2 7" xfId="3320" xr:uid="{00000000-0005-0000-0000-00003B0C0000}"/>
    <cellStyle name="Comma 55 3" xfId="3321" xr:uid="{00000000-0005-0000-0000-00003C0C0000}"/>
    <cellStyle name="Comma 55 3 2" xfId="3322" xr:uid="{00000000-0005-0000-0000-00003D0C0000}"/>
    <cellStyle name="Comma 55 3 2 2" xfId="3323" xr:uid="{00000000-0005-0000-0000-00003E0C0000}"/>
    <cellStyle name="Comma 55 3 2 2 2" xfId="3324" xr:uid="{00000000-0005-0000-0000-00003F0C0000}"/>
    <cellStyle name="Comma 55 3 2 3" xfId="3325" xr:uid="{00000000-0005-0000-0000-0000400C0000}"/>
    <cellStyle name="Comma 55 3 2 3 2" xfId="3326" xr:uid="{00000000-0005-0000-0000-0000410C0000}"/>
    <cellStyle name="Comma 55 3 2 4" xfId="3327" xr:uid="{00000000-0005-0000-0000-0000420C0000}"/>
    <cellStyle name="Comma 55 3 3" xfId="3328" xr:uid="{00000000-0005-0000-0000-0000430C0000}"/>
    <cellStyle name="Comma 55 3 3 2" xfId="3329" xr:uid="{00000000-0005-0000-0000-0000440C0000}"/>
    <cellStyle name="Comma 55 3 3 2 2" xfId="3330" xr:uid="{00000000-0005-0000-0000-0000450C0000}"/>
    <cellStyle name="Comma 55 3 3 3" xfId="3331" xr:uid="{00000000-0005-0000-0000-0000460C0000}"/>
    <cellStyle name="Comma 55 3 4" xfId="3332" xr:uid="{00000000-0005-0000-0000-0000470C0000}"/>
    <cellStyle name="Comma 55 3 4 2" xfId="3333" xr:uid="{00000000-0005-0000-0000-0000480C0000}"/>
    <cellStyle name="Comma 55 3 5" xfId="3334" xr:uid="{00000000-0005-0000-0000-0000490C0000}"/>
    <cellStyle name="Comma 55 3 5 2" xfId="3335" xr:uid="{00000000-0005-0000-0000-00004A0C0000}"/>
    <cellStyle name="Comma 55 3 6" xfId="3336" xr:uid="{00000000-0005-0000-0000-00004B0C0000}"/>
    <cellStyle name="Comma 55 4" xfId="3337" xr:uid="{00000000-0005-0000-0000-00004C0C0000}"/>
    <cellStyle name="Comma 55 4 2" xfId="3338" xr:uid="{00000000-0005-0000-0000-00004D0C0000}"/>
    <cellStyle name="Comma 55 4 2 2" xfId="3339" xr:uid="{00000000-0005-0000-0000-00004E0C0000}"/>
    <cellStyle name="Comma 55 4 3" xfId="3340" xr:uid="{00000000-0005-0000-0000-00004F0C0000}"/>
    <cellStyle name="Comma 55 4 3 2" xfId="3341" xr:uid="{00000000-0005-0000-0000-0000500C0000}"/>
    <cellStyle name="Comma 55 4 4" xfId="3342" xr:uid="{00000000-0005-0000-0000-0000510C0000}"/>
    <cellStyle name="Comma 55 5" xfId="3343" xr:uid="{00000000-0005-0000-0000-0000520C0000}"/>
    <cellStyle name="Comma 55 5 2" xfId="3344" xr:uid="{00000000-0005-0000-0000-0000530C0000}"/>
    <cellStyle name="Comma 55 5 2 2" xfId="3345" xr:uid="{00000000-0005-0000-0000-0000540C0000}"/>
    <cellStyle name="Comma 55 5 3" xfId="3346" xr:uid="{00000000-0005-0000-0000-0000550C0000}"/>
    <cellStyle name="Comma 55 6" xfId="3347" xr:uid="{00000000-0005-0000-0000-0000560C0000}"/>
    <cellStyle name="Comma 55 6 2" xfId="3348" xr:uid="{00000000-0005-0000-0000-0000570C0000}"/>
    <cellStyle name="Comma 55 7" xfId="3349" xr:uid="{00000000-0005-0000-0000-0000580C0000}"/>
    <cellStyle name="Comma 55 7 2" xfId="3350" xr:uid="{00000000-0005-0000-0000-0000590C0000}"/>
    <cellStyle name="Comma 55 8" xfId="3351" xr:uid="{00000000-0005-0000-0000-00005A0C0000}"/>
    <cellStyle name="Comma 56" xfId="3352" xr:uid="{00000000-0005-0000-0000-00005B0C0000}"/>
    <cellStyle name="Comma 56 2" xfId="3353" xr:uid="{00000000-0005-0000-0000-00005C0C0000}"/>
    <cellStyle name="Comma 56 2 2" xfId="3354" xr:uid="{00000000-0005-0000-0000-00005D0C0000}"/>
    <cellStyle name="Comma 56 2 2 2" xfId="3355" xr:uid="{00000000-0005-0000-0000-00005E0C0000}"/>
    <cellStyle name="Comma 56 2 2 2 2" xfId="3356" xr:uid="{00000000-0005-0000-0000-00005F0C0000}"/>
    <cellStyle name="Comma 56 2 2 2 2 2" xfId="3357" xr:uid="{00000000-0005-0000-0000-0000600C0000}"/>
    <cellStyle name="Comma 56 2 2 2 3" xfId="3358" xr:uid="{00000000-0005-0000-0000-0000610C0000}"/>
    <cellStyle name="Comma 56 2 2 2 3 2" xfId="3359" xr:uid="{00000000-0005-0000-0000-0000620C0000}"/>
    <cellStyle name="Comma 56 2 2 2 4" xfId="3360" xr:uid="{00000000-0005-0000-0000-0000630C0000}"/>
    <cellStyle name="Comma 56 2 2 3" xfId="3361" xr:uid="{00000000-0005-0000-0000-0000640C0000}"/>
    <cellStyle name="Comma 56 2 2 3 2" xfId="3362" xr:uid="{00000000-0005-0000-0000-0000650C0000}"/>
    <cellStyle name="Comma 56 2 2 3 2 2" xfId="3363" xr:uid="{00000000-0005-0000-0000-0000660C0000}"/>
    <cellStyle name="Comma 56 2 2 3 3" xfId="3364" xr:uid="{00000000-0005-0000-0000-0000670C0000}"/>
    <cellStyle name="Comma 56 2 2 4" xfId="3365" xr:uid="{00000000-0005-0000-0000-0000680C0000}"/>
    <cellStyle name="Comma 56 2 2 4 2" xfId="3366" xr:uid="{00000000-0005-0000-0000-0000690C0000}"/>
    <cellStyle name="Comma 56 2 2 5" xfId="3367" xr:uid="{00000000-0005-0000-0000-00006A0C0000}"/>
    <cellStyle name="Comma 56 2 2 5 2" xfId="3368" xr:uid="{00000000-0005-0000-0000-00006B0C0000}"/>
    <cellStyle name="Comma 56 2 2 6" xfId="3369" xr:uid="{00000000-0005-0000-0000-00006C0C0000}"/>
    <cellStyle name="Comma 56 2 3" xfId="3370" xr:uid="{00000000-0005-0000-0000-00006D0C0000}"/>
    <cellStyle name="Comma 56 2 3 2" xfId="3371" xr:uid="{00000000-0005-0000-0000-00006E0C0000}"/>
    <cellStyle name="Comma 56 2 3 2 2" xfId="3372" xr:uid="{00000000-0005-0000-0000-00006F0C0000}"/>
    <cellStyle name="Comma 56 2 3 3" xfId="3373" xr:uid="{00000000-0005-0000-0000-0000700C0000}"/>
    <cellStyle name="Comma 56 2 3 3 2" xfId="3374" xr:uid="{00000000-0005-0000-0000-0000710C0000}"/>
    <cellStyle name="Comma 56 2 3 4" xfId="3375" xr:uid="{00000000-0005-0000-0000-0000720C0000}"/>
    <cellStyle name="Comma 56 2 4" xfId="3376" xr:uid="{00000000-0005-0000-0000-0000730C0000}"/>
    <cellStyle name="Comma 56 2 4 2" xfId="3377" xr:uid="{00000000-0005-0000-0000-0000740C0000}"/>
    <cellStyle name="Comma 56 2 4 2 2" xfId="3378" xr:uid="{00000000-0005-0000-0000-0000750C0000}"/>
    <cellStyle name="Comma 56 2 4 3" xfId="3379" xr:uid="{00000000-0005-0000-0000-0000760C0000}"/>
    <cellStyle name="Comma 56 2 5" xfId="3380" xr:uid="{00000000-0005-0000-0000-0000770C0000}"/>
    <cellStyle name="Comma 56 2 5 2" xfId="3381" xr:uid="{00000000-0005-0000-0000-0000780C0000}"/>
    <cellStyle name="Comma 56 2 6" xfId="3382" xr:uid="{00000000-0005-0000-0000-0000790C0000}"/>
    <cellStyle name="Comma 56 2 6 2" xfId="3383" xr:uid="{00000000-0005-0000-0000-00007A0C0000}"/>
    <cellStyle name="Comma 56 2 7" xfId="3384" xr:uid="{00000000-0005-0000-0000-00007B0C0000}"/>
    <cellStyle name="Comma 56 3" xfId="3385" xr:uid="{00000000-0005-0000-0000-00007C0C0000}"/>
    <cellStyle name="Comma 56 3 2" xfId="3386" xr:uid="{00000000-0005-0000-0000-00007D0C0000}"/>
    <cellStyle name="Comma 56 3 2 2" xfId="3387" xr:uid="{00000000-0005-0000-0000-00007E0C0000}"/>
    <cellStyle name="Comma 56 3 2 2 2" xfId="3388" xr:uid="{00000000-0005-0000-0000-00007F0C0000}"/>
    <cellStyle name="Comma 56 3 2 3" xfId="3389" xr:uid="{00000000-0005-0000-0000-0000800C0000}"/>
    <cellStyle name="Comma 56 3 2 3 2" xfId="3390" xr:uid="{00000000-0005-0000-0000-0000810C0000}"/>
    <cellStyle name="Comma 56 3 2 4" xfId="3391" xr:uid="{00000000-0005-0000-0000-0000820C0000}"/>
    <cellStyle name="Comma 56 3 3" xfId="3392" xr:uid="{00000000-0005-0000-0000-0000830C0000}"/>
    <cellStyle name="Comma 56 3 3 2" xfId="3393" xr:uid="{00000000-0005-0000-0000-0000840C0000}"/>
    <cellStyle name="Comma 56 3 3 2 2" xfId="3394" xr:uid="{00000000-0005-0000-0000-0000850C0000}"/>
    <cellStyle name="Comma 56 3 3 3" xfId="3395" xr:uid="{00000000-0005-0000-0000-0000860C0000}"/>
    <cellStyle name="Comma 56 3 4" xfId="3396" xr:uid="{00000000-0005-0000-0000-0000870C0000}"/>
    <cellStyle name="Comma 56 3 4 2" xfId="3397" xr:uid="{00000000-0005-0000-0000-0000880C0000}"/>
    <cellStyle name="Comma 56 3 5" xfId="3398" xr:uid="{00000000-0005-0000-0000-0000890C0000}"/>
    <cellStyle name="Comma 56 3 5 2" xfId="3399" xr:uid="{00000000-0005-0000-0000-00008A0C0000}"/>
    <cellStyle name="Comma 56 3 6" xfId="3400" xr:uid="{00000000-0005-0000-0000-00008B0C0000}"/>
    <cellStyle name="Comma 56 4" xfId="3401" xr:uid="{00000000-0005-0000-0000-00008C0C0000}"/>
    <cellStyle name="Comma 56 4 2" xfId="3402" xr:uid="{00000000-0005-0000-0000-00008D0C0000}"/>
    <cellStyle name="Comma 56 4 2 2" xfId="3403" xr:uid="{00000000-0005-0000-0000-00008E0C0000}"/>
    <cellStyle name="Comma 56 4 3" xfId="3404" xr:uid="{00000000-0005-0000-0000-00008F0C0000}"/>
    <cellStyle name="Comma 56 4 3 2" xfId="3405" xr:uid="{00000000-0005-0000-0000-0000900C0000}"/>
    <cellStyle name="Comma 56 4 4" xfId="3406" xr:uid="{00000000-0005-0000-0000-0000910C0000}"/>
    <cellStyle name="Comma 56 5" xfId="3407" xr:uid="{00000000-0005-0000-0000-0000920C0000}"/>
    <cellStyle name="Comma 56 5 2" xfId="3408" xr:uid="{00000000-0005-0000-0000-0000930C0000}"/>
    <cellStyle name="Comma 56 5 2 2" xfId="3409" xr:uid="{00000000-0005-0000-0000-0000940C0000}"/>
    <cellStyle name="Comma 56 5 3" xfId="3410" xr:uid="{00000000-0005-0000-0000-0000950C0000}"/>
    <cellStyle name="Comma 56 6" xfId="3411" xr:uid="{00000000-0005-0000-0000-0000960C0000}"/>
    <cellStyle name="Comma 56 6 2" xfId="3412" xr:uid="{00000000-0005-0000-0000-0000970C0000}"/>
    <cellStyle name="Comma 56 7" xfId="3413" xr:uid="{00000000-0005-0000-0000-0000980C0000}"/>
    <cellStyle name="Comma 56 7 2" xfId="3414" xr:uid="{00000000-0005-0000-0000-0000990C0000}"/>
    <cellStyle name="Comma 56 8" xfId="3415" xr:uid="{00000000-0005-0000-0000-00009A0C0000}"/>
    <cellStyle name="Comma 57" xfId="3416" xr:uid="{00000000-0005-0000-0000-00009B0C0000}"/>
    <cellStyle name="Comma 57 2" xfId="3417" xr:uid="{00000000-0005-0000-0000-00009C0C0000}"/>
    <cellStyle name="Comma 57 2 2" xfId="3418" xr:uid="{00000000-0005-0000-0000-00009D0C0000}"/>
    <cellStyle name="Comma 57 2 2 2" xfId="3419" xr:uid="{00000000-0005-0000-0000-00009E0C0000}"/>
    <cellStyle name="Comma 57 2 2 2 2" xfId="3420" xr:uid="{00000000-0005-0000-0000-00009F0C0000}"/>
    <cellStyle name="Comma 57 2 2 2 2 2" xfId="3421" xr:uid="{00000000-0005-0000-0000-0000A00C0000}"/>
    <cellStyle name="Comma 57 2 2 2 3" xfId="3422" xr:uid="{00000000-0005-0000-0000-0000A10C0000}"/>
    <cellStyle name="Comma 57 2 2 2 3 2" xfId="3423" xr:uid="{00000000-0005-0000-0000-0000A20C0000}"/>
    <cellStyle name="Comma 57 2 2 2 4" xfId="3424" xr:uid="{00000000-0005-0000-0000-0000A30C0000}"/>
    <cellStyle name="Comma 57 2 2 3" xfId="3425" xr:uid="{00000000-0005-0000-0000-0000A40C0000}"/>
    <cellStyle name="Comma 57 2 2 3 2" xfId="3426" xr:uid="{00000000-0005-0000-0000-0000A50C0000}"/>
    <cellStyle name="Comma 57 2 2 3 2 2" xfId="3427" xr:uid="{00000000-0005-0000-0000-0000A60C0000}"/>
    <cellStyle name="Comma 57 2 2 3 3" xfId="3428" xr:uid="{00000000-0005-0000-0000-0000A70C0000}"/>
    <cellStyle name="Comma 57 2 2 4" xfId="3429" xr:uid="{00000000-0005-0000-0000-0000A80C0000}"/>
    <cellStyle name="Comma 57 2 2 4 2" xfId="3430" xr:uid="{00000000-0005-0000-0000-0000A90C0000}"/>
    <cellStyle name="Comma 57 2 2 5" xfId="3431" xr:uid="{00000000-0005-0000-0000-0000AA0C0000}"/>
    <cellStyle name="Comma 57 2 2 5 2" xfId="3432" xr:uid="{00000000-0005-0000-0000-0000AB0C0000}"/>
    <cellStyle name="Comma 57 2 2 6" xfId="3433" xr:uid="{00000000-0005-0000-0000-0000AC0C0000}"/>
    <cellStyle name="Comma 57 2 3" xfId="3434" xr:uid="{00000000-0005-0000-0000-0000AD0C0000}"/>
    <cellStyle name="Comma 57 2 3 2" xfId="3435" xr:uid="{00000000-0005-0000-0000-0000AE0C0000}"/>
    <cellStyle name="Comma 57 2 3 2 2" xfId="3436" xr:uid="{00000000-0005-0000-0000-0000AF0C0000}"/>
    <cellStyle name="Comma 57 2 3 3" xfId="3437" xr:uid="{00000000-0005-0000-0000-0000B00C0000}"/>
    <cellStyle name="Comma 57 2 3 3 2" xfId="3438" xr:uid="{00000000-0005-0000-0000-0000B10C0000}"/>
    <cellStyle name="Comma 57 2 3 4" xfId="3439" xr:uid="{00000000-0005-0000-0000-0000B20C0000}"/>
    <cellStyle name="Comma 57 2 4" xfId="3440" xr:uid="{00000000-0005-0000-0000-0000B30C0000}"/>
    <cellStyle name="Comma 57 2 4 2" xfId="3441" xr:uid="{00000000-0005-0000-0000-0000B40C0000}"/>
    <cellStyle name="Comma 57 2 4 2 2" xfId="3442" xr:uid="{00000000-0005-0000-0000-0000B50C0000}"/>
    <cellStyle name="Comma 57 2 4 3" xfId="3443" xr:uid="{00000000-0005-0000-0000-0000B60C0000}"/>
    <cellStyle name="Comma 57 2 5" xfId="3444" xr:uid="{00000000-0005-0000-0000-0000B70C0000}"/>
    <cellStyle name="Comma 57 2 5 2" xfId="3445" xr:uid="{00000000-0005-0000-0000-0000B80C0000}"/>
    <cellStyle name="Comma 57 2 6" xfId="3446" xr:uid="{00000000-0005-0000-0000-0000B90C0000}"/>
    <cellStyle name="Comma 57 2 6 2" xfId="3447" xr:uid="{00000000-0005-0000-0000-0000BA0C0000}"/>
    <cellStyle name="Comma 57 2 7" xfId="3448" xr:uid="{00000000-0005-0000-0000-0000BB0C0000}"/>
    <cellStyle name="Comma 57 3" xfId="3449" xr:uid="{00000000-0005-0000-0000-0000BC0C0000}"/>
    <cellStyle name="Comma 57 3 2" xfId="3450" xr:uid="{00000000-0005-0000-0000-0000BD0C0000}"/>
    <cellStyle name="Comma 57 3 2 2" xfId="3451" xr:uid="{00000000-0005-0000-0000-0000BE0C0000}"/>
    <cellStyle name="Comma 57 3 2 2 2" xfId="3452" xr:uid="{00000000-0005-0000-0000-0000BF0C0000}"/>
    <cellStyle name="Comma 57 3 2 3" xfId="3453" xr:uid="{00000000-0005-0000-0000-0000C00C0000}"/>
    <cellStyle name="Comma 57 3 2 3 2" xfId="3454" xr:uid="{00000000-0005-0000-0000-0000C10C0000}"/>
    <cellStyle name="Comma 57 3 2 4" xfId="3455" xr:uid="{00000000-0005-0000-0000-0000C20C0000}"/>
    <cellStyle name="Comma 57 3 3" xfId="3456" xr:uid="{00000000-0005-0000-0000-0000C30C0000}"/>
    <cellStyle name="Comma 57 3 3 2" xfId="3457" xr:uid="{00000000-0005-0000-0000-0000C40C0000}"/>
    <cellStyle name="Comma 57 3 3 2 2" xfId="3458" xr:uid="{00000000-0005-0000-0000-0000C50C0000}"/>
    <cellStyle name="Comma 57 3 3 3" xfId="3459" xr:uid="{00000000-0005-0000-0000-0000C60C0000}"/>
    <cellStyle name="Comma 57 3 4" xfId="3460" xr:uid="{00000000-0005-0000-0000-0000C70C0000}"/>
    <cellStyle name="Comma 57 3 4 2" xfId="3461" xr:uid="{00000000-0005-0000-0000-0000C80C0000}"/>
    <cellStyle name="Comma 57 3 5" xfId="3462" xr:uid="{00000000-0005-0000-0000-0000C90C0000}"/>
    <cellStyle name="Comma 57 3 5 2" xfId="3463" xr:uid="{00000000-0005-0000-0000-0000CA0C0000}"/>
    <cellStyle name="Comma 57 3 6" xfId="3464" xr:uid="{00000000-0005-0000-0000-0000CB0C0000}"/>
    <cellStyle name="Comma 57 4" xfId="3465" xr:uid="{00000000-0005-0000-0000-0000CC0C0000}"/>
    <cellStyle name="Comma 57 4 2" xfId="3466" xr:uid="{00000000-0005-0000-0000-0000CD0C0000}"/>
    <cellStyle name="Comma 57 4 2 2" xfId="3467" xr:uid="{00000000-0005-0000-0000-0000CE0C0000}"/>
    <cellStyle name="Comma 57 4 3" xfId="3468" xr:uid="{00000000-0005-0000-0000-0000CF0C0000}"/>
    <cellStyle name="Comma 57 4 3 2" xfId="3469" xr:uid="{00000000-0005-0000-0000-0000D00C0000}"/>
    <cellStyle name="Comma 57 4 4" xfId="3470" xr:uid="{00000000-0005-0000-0000-0000D10C0000}"/>
    <cellStyle name="Comma 57 5" xfId="3471" xr:uid="{00000000-0005-0000-0000-0000D20C0000}"/>
    <cellStyle name="Comma 57 5 2" xfId="3472" xr:uid="{00000000-0005-0000-0000-0000D30C0000}"/>
    <cellStyle name="Comma 57 5 2 2" xfId="3473" xr:uid="{00000000-0005-0000-0000-0000D40C0000}"/>
    <cellStyle name="Comma 57 5 3" xfId="3474" xr:uid="{00000000-0005-0000-0000-0000D50C0000}"/>
    <cellStyle name="Comma 57 6" xfId="3475" xr:uid="{00000000-0005-0000-0000-0000D60C0000}"/>
    <cellStyle name="Comma 57 6 2" xfId="3476" xr:uid="{00000000-0005-0000-0000-0000D70C0000}"/>
    <cellStyle name="Comma 57 7" xfId="3477" xr:uid="{00000000-0005-0000-0000-0000D80C0000}"/>
    <cellStyle name="Comma 57 7 2" xfId="3478" xr:uid="{00000000-0005-0000-0000-0000D90C0000}"/>
    <cellStyle name="Comma 57 8" xfId="3479" xr:uid="{00000000-0005-0000-0000-0000DA0C0000}"/>
    <cellStyle name="Comma 58" xfId="3480" xr:uid="{00000000-0005-0000-0000-0000DB0C0000}"/>
    <cellStyle name="Comma 58 2" xfId="3481" xr:uid="{00000000-0005-0000-0000-0000DC0C0000}"/>
    <cellStyle name="Comma 58 2 2" xfId="3482" xr:uid="{00000000-0005-0000-0000-0000DD0C0000}"/>
    <cellStyle name="Comma 58 2 2 2" xfId="3483" xr:uid="{00000000-0005-0000-0000-0000DE0C0000}"/>
    <cellStyle name="Comma 58 2 2 2 2" xfId="3484" xr:uid="{00000000-0005-0000-0000-0000DF0C0000}"/>
    <cellStyle name="Comma 58 2 2 2 2 2" xfId="3485" xr:uid="{00000000-0005-0000-0000-0000E00C0000}"/>
    <cellStyle name="Comma 58 2 2 2 3" xfId="3486" xr:uid="{00000000-0005-0000-0000-0000E10C0000}"/>
    <cellStyle name="Comma 58 2 2 2 3 2" xfId="3487" xr:uid="{00000000-0005-0000-0000-0000E20C0000}"/>
    <cellStyle name="Comma 58 2 2 2 4" xfId="3488" xr:uid="{00000000-0005-0000-0000-0000E30C0000}"/>
    <cellStyle name="Comma 58 2 2 3" xfId="3489" xr:uid="{00000000-0005-0000-0000-0000E40C0000}"/>
    <cellStyle name="Comma 58 2 2 3 2" xfId="3490" xr:uid="{00000000-0005-0000-0000-0000E50C0000}"/>
    <cellStyle name="Comma 58 2 2 3 2 2" xfId="3491" xr:uid="{00000000-0005-0000-0000-0000E60C0000}"/>
    <cellStyle name="Comma 58 2 2 3 3" xfId="3492" xr:uid="{00000000-0005-0000-0000-0000E70C0000}"/>
    <cellStyle name="Comma 58 2 2 4" xfId="3493" xr:uid="{00000000-0005-0000-0000-0000E80C0000}"/>
    <cellStyle name="Comma 58 2 2 4 2" xfId="3494" xr:uid="{00000000-0005-0000-0000-0000E90C0000}"/>
    <cellStyle name="Comma 58 2 2 5" xfId="3495" xr:uid="{00000000-0005-0000-0000-0000EA0C0000}"/>
    <cellStyle name="Comma 58 2 2 5 2" xfId="3496" xr:uid="{00000000-0005-0000-0000-0000EB0C0000}"/>
    <cellStyle name="Comma 58 2 2 6" xfId="3497" xr:uid="{00000000-0005-0000-0000-0000EC0C0000}"/>
    <cellStyle name="Comma 58 2 3" xfId="3498" xr:uid="{00000000-0005-0000-0000-0000ED0C0000}"/>
    <cellStyle name="Comma 58 2 3 2" xfId="3499" xr:uid="{00000000-0005-0000-0000-0000EE0C0000}"/>
    <cellStyle name="Comma 58 2 3 2 2" xfId="3500" xr:uid="{00000000-0005-0000-0000-0000EF0C0000}"/>
    <cellStyle name="Comma 58 2 3 3" xfId="3501" xr:uid="{00000000-0005-0000-0000-0000F00C0000}"/>
    <cellStyle name="Comma 58 2 3 3 2" xfId="3502" xr:uid="{00000000-0005-0000-0000-0000F10C0000}"/>
    <cellStyle name="Comma 58 2 3 4" xfId="3503" xr:uid="{00000000-0005-0000-0000-0000F20C0000}"/>
    <cellStyle name="Comma 58 2 4" xfId="3504" xr:uid="{00000000-0005-0000-0000-0000F30C0000}"/>
    <cellStyle name="Comma 58 2 4 2" xfId="3505" xr:uid="{00000000-0005-0000-0000-0000F40C0000}"/>
    <cellStyle name="Comma 58 2 4 2 2" xfId="3506" xr:uid="{00000000-0005-0000-0000-0000F50C0000}"/>
    <cellStyle name="Comma 58 2 4 3" xfId="3507" xr:uid="{00000000-0005-0000-0000-0000F60C0000}"/>
    <cellStyle name="Comma 58 2 5" xfId="3508" xr:uid="{00000000-0005-0000-0000-0000F70C0000}"/>
    <cellStyle name="Comma 58 2 5 2" xfId="3509" xr:uid="{00000000-0005-0000-0000-0000F80C0000}"/>
    <cellStyle name="Comma 58 2 6" xfId="3510" xr:uid="{00000000-0005-0000-0000-0000F90C0000}"/>
    <cellStyle name="Comma 58 2 6 2" xfId="3511" xr:uid="{00000000-0005-0000-0000-0000FA0C0000}"/>
    <cellStyle name="Comma 58 2 7" xfId="3512" xr:uid="{00000000-0005-0000-0000-0000FB0C0000}"/>
    <cellStyle name="Comma 58 3" xfId="3513" xr:uid="{00000000-0005-0000-0000-0000FC0C0000}"/>
    <cellStyle name="Comma 58 3 2" xfId="3514" xr:uid="{00000000-0005-0000-0000-0000FD0C0000}"/>
    <cellStyle name="Comma 58 3 2 2" xfId="3515" xr:uid="{00000000-0005-0000-0000-0000FE0C0000}"/>
    <cellStyle name="Comma 58 3 2 2 2" xfId="3516" xr:uid="{00000000-0005-0000-0000-0000FF0C0000}"/>
    <cellStyle name="Comma 58 3 2 3" xfId="3517" xr:uid="{00000000-0005-0000-0000-0000000D0000}"/>
    <cellStyle name="Comma 58 3 2 3 2" xfId="3518" xr:uid="{00000000-0005-0000-0000-0000010D0000}"/>
    <cellStyle name="Comma 58 3 2 4" xfId="3519" xr:uid="{00000000-0005-0000-0000-0000020D0000}"/>
    <cellStyle name="Comma 58 3 3" xfId="3520" xr:uid="{00000000-0005-0000-0000-0000030D0000}"/>
    <cellStyle name="Comma 58 3 3 2" xfId="3521" xr:uid="{00000000-0005-0000-0000-0000040D0000}"/>
    <cellStyle name="Comma 58 3 3 2 2" xfId="3522" xr:uid="{00000000-0005-0000-0000-0000050D0000}"/>
    <cellStyle name="Comma 58 3 3 3" xfId="3523" xr:uid="{00000000-0005-0000-0000-0000060D0000}"/>
    <cellStyle name="Comma 58 3 4" xfId="3524" xr:uid="{00000000-0005-0000-0000-0000070D0000}"/>
    <cellStyle name="Comma 58 3 4 2" xfId="3525" xr:uid="{00000000-0005-0000-0000-0000080D0000}"/>
    <cellStyle name="Comma 58 3 5" xfId="3526" xr:uid="{00000000-0005-0000-0000-0000090D0000}"/>
    <cellStyle name="Comma 58 3 5 2" xfId="3527" xr:uid="{00000000-0005-0000-0000-00000A0D0000}"/>
    <cellStyle name="Comma 58 3 6" xfId="3528" xr:uid="{00000000-0005-0000-0000-00000B0D0000}"/>
    <cellStyle name="Comma 58 4" xfId="3529" xr:uid="{00000000-0005-0000-0000-00000C0D0000}"/>
    <cellStyle name="Comma 58 4 2" xfId="3530" xr:uid="{00000000-0005-0000-0000-00000D0D0000}"/>
    <cellStyle name="Comma 58 4 2 2" xfId="3531" xr:uid="{00000000-0005-0000-0000-00000E0D0000}"/>
    <cellStyle name="Comma 58 4 3" xfId="3532" xr:uid="{00000000-0005-0000-0000-00000F0D0000}"/>
    <cellStyle name="Comma 58 4 3 2" xfId="3533" xr:uid="{00000000-0005-0000-0000-0000100D0000}"/>
    <cellStyle name="Comma 58 4 4" xfId="3534" xr:uid="{00000000-0005-0000-0000-0000110D0000}"/>
    <cellStyle name="Comma 58 5" xfId="3535" xr:uid="{00000000-0005-0000-0000-0000120D0000}"/>
    <cellStyle name="Comma 58 5 2" xfId="3536" xr:uid="{00000000-0005-0000-0000-0000130D0000}"/>
    <cellStyle name="Comma 58 5 2 2" xfId="3537" xr:uid="{00000000-0005-0000-0000-0000140D0000}"/>
    <cellStyle name="Comma 58 5 3" xfId="3538" xr:uid="{00000000-0005-0000-0000-0000150D0000}"/>
    <cellStyle name="Comma 58 6" xfId="3539" xr:uid="{00000000-0005-0000-0000-0000160D0000}"/>
    <cellStyle name="Comma 58 6 2" xfId="3540" xr:uid="{00000000-0005-0000-0000-0000170D0000}"/>
    <cellStyle name="Comma 58 7" xfId="3541" xr:uid="{00000000-0005-0000-0000-0000180D0000}"/>
    <cellStyle name="Comma 58 7 2" xfId="3542" xr:uid="{00000000-0005-0000-0000-0000190D0000}"/>
    <cellStyle name="Comma 58 8" xfId="3543" xr:uid="{00000000-0005-0000-0000-00001A0D0000}"/>
    <cellStyle name="Comma 59" xfId="3544" xr:uid="{00000000-0005-0000-0000-00001B0D0000}"/>
    <cellStyle name="Comma 59 2" xfId="3545" xr:uid="{00000000-0005-0000-0000-00001C0D0000}"/>
    <cellStyle name="Comma 59 2 2" xfId="3546" xr:uid="{00000000-0005-0000-0000-00001D0D0000}"/>
    <cellStyle name="Comma 59 2 2 2" xfId="3547" xr:uid="{00000000-0005-0000-0000-00001E0D0000}"/>
    <cellStyle name="Comma 59 2 2 2 2" xfId="3548" xr:uid="{00000000-0005-0000-0000-00001F0D0000}"/>
    <cellStyle name="Comma 59 2 2 2 2 2" xfId="3549" xr:uid="{00000000-0005-0000-0000-0000200D0000}"/>
    <cellStyle name="Comma 59 2 2 2 3" xfId="3550" xr:uid="{00000000-0005-0000-0000-0000210D0000}"/>
    <cellStyle name="Comma 59 2 2 2 3 2" xfId="3551" xr:uid="{00000000-0005-0000-0000-0000220D0000}"/>
    <cellStyle name="Comma 59 2 2 2 4" xfId="3552" xr:uid="{00000000-0005-0000-0000-0000230D0000}"/>
    <cellStyle name="Comma 59 2 2 3" xfId="3553" xr:uid="{00000000-0005-0000-0000-0000240D0000}"/>
    <cellStyle name="Comma 59 2 2 3 2" xfId="3554" xr:uid="{00000000-0005-0000-0000-0000250D0000}"/>
    <cellStyle name="Comma 59 2 2 3 2 2" xfId="3555" xr:uid="{00000000-0005-0000-0000-0000260D0000}"/>
    <cellStyle name="Comma 59 2 2 3 3" xfId="3556" xr:uid="{00000000-0005-0000-0000-0000270D0000}"/>
    <cellStyle name="Comma 59 2 2 4" xfId="3557" xr:uid="{00000000-0005-0000-0000-0000280D0000}"/>
    <cellStyle name="Comma 59 2 2 4 2" xfId="3558" xr:uid="{00000000-0005-0000-0000-0000290D0000}"/>
    <cellStyle name="Comma 59 2 2 5" xfId="3559" xr:uid="{00000000-0005-0000-0000-00002A0D0000}"/>
    <cellStyle name="Comma 59 2 2 5 2" xfId="3560" xr:uid="{00000000-0005-0000-0000-00002B0D0000}"/>
    <cellStyle name="Comma 59 2 2 6" xfId="3561" xr:uid="{00000000-0005-0000-0000-00002C0D0000}"/>
    <cellStyle name="Comma 59 2 3" xfId="3562" xr:uid="{00000000-0005-0000-0000-00002D0D0000}"/>
    <cellStyle name="Comma 59 2 3 2" xfId="3563" xr:uid="{00000000-0005-0000-0000-00002E0D0000}"/>
    <cellStyle name="Comma 59 2 3 2 2" xfId="3564" xr:uid="{00000000-0005-0000-0000-00002F0D0000}"/>
    <cellStyle name="Comma 59 2 3 3" xfId="3565" xr:uid="{00000000-0005-0000-0000-0000300D0000}"/>
    <cellStyle name="Comma 59 2 3 3 2" xfId="3566" xr:uid="{00000000-0005-0000-0000-0000310D0000}"/>
    <cellStyle name="Comma 59 2 3 4" xfId="3567" xr:uid="{00000000-0005-0000-0000-0000320D0000}"/>
    <cellStyle name="Comma 59 2 4" xfId="3568" xr:uid="{00000000-0005-0000-0000-0000330D0000}"/>
    <cellStyle name="Comma 59 2 4 2" xfId="3569" xr:uid="{00000000-0005-0000-0000-0000340D0000}"/>
    <cellStyle name="Comma 59 2 4 2 2" xfId="3570" xr:uid="{00000000-0005-0000-0000-0000350D0000}"/>
    <cellStyle name="Comma 59 2 4 3" xfId="3571" xr:uid="{00000000-0005-0000-0000-0000360D0000}"/>
    <cellStyle name="Comma 59 2 5" xfId="3572" xr:uid="{00000000-0005-0000-0000-0000370D0000}"/>
    <cellStyle name="Comma 59 2 5 2" xfId="3573" xr:uid="{00000000-0005-0000-0000-0000380D0000}"/>
    <cellStyle name="Comma 59 2 6" xfId="3574" xr:uid="{00000000-0005-0000-0000-0000390D0000}"/>
    <cellStyle name="Comma 59 2 6 2" xfId="3575" xr:uid="{00000000-0005-0000-0000-00003A0D0000}"/>
    <cellStyle name="Comma 59 2 7" xfId="3576" xr:uid="{00000000-0005-0000-0000-00003B0D0000}"/>
    <cellStyle name="Comma 59 3" xfId="3577" xr:uid="{00000000-0005-0000-0000-00003C0D0000}"/>
    <cellStyle name="Comma 59 3 2" xfId="3578" xr:uid="{00000000-0005-0000-0000-00003D0D0000}"/>
    <cellStyle name="Comma 59 3 2 2" xfId="3579" xr:uid="{00000000-0005-0000-0000-00003E0D0000}"/>
    <cellStyle name="Comma 59 3 2 2 2" xfId="3580" xr:uid="{00000000-0005-0000-0000-00003F0D0000}"/>
    <cellStyle name="Comma 59 3 2 3" xfId="3581" xr:uid="{00000000-0005-0000-0000-0000400D0000}"/>
    <cellStyle name="Comma 59 3 2 3 2" xfId="3582" xr:uid="{00000000-0005-0000-0000-0000410D0000}"/>
    <cellStyle name="Comma 59 3 2 4" xfId="3583" xr:uid="{00000000-0005-0000-0000-0000420D0000}"/>
    <cellStyle name="Comma 59 3 3" xfId="3584" xr:uid="{00000000-0005-0000-0000-0000430D0000}"/>
    <cellStyle name="Comma 59 3 3 2" xfId="3585" xr:uid="{00000000-0005-0000-0000-0000440D0000}"/>
    <cellStyle name="Comma 59 3 3 2 2" xfId="3586" xr:uid="{00000000-0005-0000-0000-0000450D0000}"/>
    <cellStyle name="Comma 59 3 3 3" xfId="3587" xr:uid="{00000000-0005-0000-0000-0000460D0000}"/>
    <cellStyle name="Comma 59 3 4" xfId="3588" xr:uid="{00000000-0005-0000-0000-0000470D0000}"/>
    <cellStyle name="Comma 59 3 4 2" xfId="3589" xr:uid="{00000000-0005-0000-0000-0000480D0000}"/>
    <cellStyle name="Comma 59 3 5" xfId="3590" xr:uid="{00000000-0005-0000-0000-0000490D0000}"/>
    <cellStyle name="Comma 59 3 5 2" xfId="3591" xr:uid="{00000000-0005-0000-0000-00004A0D0000}"/>
    <cellStyle name="Comma 59 3 6" xfId="3592" xr:uid="{00000000-0005-0000-0000-00004B0D0000}"/>
    <cellStyle name="Comma 59 4" xfId="3593" xr:uid="{00000000-0005-0000-0000-00004C0D0000}"/>
    <cellStyle name="Comma 59 4 2" xfId="3594" xr:uid="{00000000-0005-0000-0000-00004D0D0000}"/>
    <cellStyle name="Comma 59 4 2 2" xfId="3595" xr:uid="{00000000-0005-0000-0000-00004E0D0000}"/>
    <cellStyle name="Comma 59 4 3" xfId="3596" xr:uid="{00000000-0005-0000-0000-00004F0D0000}"/>
    <cellStyle name="Comma 59 4 3 2" xfId="3597" xr:uid="{00000000-0005-0000-0000-0000500D0000}"/>
    <cellStyle name="Comma 59 4 4" xfId="3598" xr:uid="{00000000-0005-0000-0000-0000510D0000}"/>
    <cellStyle name="Comma 59 5" xfId="3599" xr:uid="{00000000-0005-0000-0000-0000520D0000}"/>
    <cellStyle name="Comma 59 5 2" xfId="3600" xr:uid="{00000000-0005-0000-0000-0000530D0000}"/>
    <cellStyle name="Comma 59 5 2 2" xfId="3601" xr:uid="{00000000-0005-0000-0000-0000540D0000}"/>
    <cellStyle name="Comma 59 5 3" xfId="3602" xr:uid="{00000000-0005-0000-0000-0000550D0000}"/>
    <cellStyle name="Comma 59 6" xfId="3603" xr:uid="{00000000-0005-0000-0000-0000560D0000}"/>
    <cellStyle name="Comma 59 6 2" xfId="3604" xr:uid="{00000000-0005-0000-0000-0000570D0000}"/>
    <cellStyle name="Comma 59 7" xfId="3605" xr:uid="{00000000-0005-0000-0000-0000580D0000}"/>
    <cellStyle name="Comma 59 7 2" xfId="3606" xr:uid="{00000000-0005-0000-0000-0000590D0000}"/>
    <cellStyle name="Comma 59 8" xfId="3607" xr:uid="{00000000-0005-0000-0000-00005A0D0000}"/>
    <cellStyle name="Comma 6" xfId="77" xr:uid="{00000000-0005-0000-0000-00005B0D0000}"/>
    <cellStyle name="Comma 6 2" xfId="78" xr:uid="{00000000-0005-0000-0000-00005C0D0000}"/>
    <cellStyle name="Comma 6 2 2" xfId="3608" xr:uid="{00000000-0005-0000-0000-00005D0D0000}"/>
    <cellStyle name="Comma 6 2 2 2" xfId="3609" xr:uid="{00000000-0005-0000-0000-00005E0D0000}"/>
    <cellStyle name="Comma 6 2 3" xfId="3610" xr:uid="{00000000-0005-0000-0000-00005F0D0000}"/>
    <cellStyle name="Comma 6 2 3 2" xfId="3611" xr:uid="{00000000-0005-0000-0000-0000600D0000}"/>
    <cellStyle name="Comma 6 2 3 2 2" xfId="3612" xr:uid="{00000000-0005-0000-0000-0000610D0000}"/>
    <cellStyle name="Comma 6 2 3 2 2 2" xfId="3613" xr:uid="{00000000-0005-0000-0000-0000620D0000}"/>
    <cellStyle name="Comma 6 2 3 2 3" xfId="3614" xr:uid="{00000000-0005-0000-0000-0000630D0000}"/>
    <cellStyle name="Comma 6 2 3 2 4" xfId="3615" xr:uid="{00000000-0005-0000-0000-0000640D0000}"/>
    <cellStyle name="Comma 6 2 3 3" xfId="3616" xr:uid="{00000000-0005-0000-0000-0000650D0000}"/>
    <cellStyle name="Comma 6 2 3 3 2" xfId="3617" xr:uid="{00000000-0005-0000-0000-0000660D0000}"/>
    <cellStyle name="Comma 6 2 3 3 2 2" xfId="3618" xr:uid="{00000000-0005-0000-0000-0000670D0000}"/>
    <cellStyle name="Comma 6 2 3 3 3" xfId="3619" xr:uid="{00000000-0005-0000-0000-0000680D0000}"/>
    <cellStyle name="Comma 6 2 3 4" xfId="3620" xr:uid="{00000000-0005-0000-0000-0000690D0000}"/>
    <cellStyle name="Comma 6 2 3 4 2" xfId="3621" xr:uid="{00000000-0005-0000-0000-00006A0D0000}"/>
    <cellStyle name="Comma 6 2 3 5" xfId="3622" xr:uid="{00000000-0005-0000-0000-00006B0D0000}"/>
    <cellStyle name="Comma 6 2 3 5 2" xfId="3623" xr:uid="{00000000-0005-0000-0000-00006C0D0000}"/>
    <cellStyle name="Comma 6 2 4" xfId="3624" xr:uid="{00000000-0005-0000-0000-00006D0D0000}"/>
    <cellStyle name="Comma 6 2 4 2" xfId="3625" xr:uid="{00000000-0005-0000-0000-00006E0D0000}"/>
    <cellStyle name="Comma 6 2 4 2 2" xfId="3626" xr:uid="{00000000-0005-0000-0000-00006F0D0000}"/>
    <cellStyle name="Comma 6 2 4 3" xfId="3627" xr:uid="{00000000-0005-0000-0000-0000700D0000}"/>
    <cellStyle name="Comma 6 2 4 3 2" xfId="3628" xr:uid="{00000000-0005-0000-0000-0000710D0000}"/>
    <cellStyle name="Comma 6 2 4 4" xfId="3629" xr:uid="{00000000-0005-0000-0000-0000720D0000}"/>
    <cellStyle name="Comma 6 2 5" xfId="3630" xr:uid="{00000000-0005-0000-0000-0000730D0000}"/>
    <cellStyle name="Comma 6 2 5 2" xfId="3631" xr:uid="{00000000-0005-0000-0000-0000740D0000}"/>
    <cellStyle name="Comma 6 2 5 2 2" xfId="3632" xr:uid="{00000000-0005-0000-0000-0000750D0000}"/>
    <cellStyle name="Comma 6 2 5 3" xfId="3633" xr:uid="{00000000-0005-0000-0000-0000760D0000}"/>
    <cellStyle name="Comma 6 2 6" xfId="3634" xr:uid="{00000000-0005-0000-0000-0000770D0000}"/>
    <cellStyle name="Comma 6 2 6 2" xfId="3635" xr:uid="{00000000-0005-0000-0000-0000780D0000}"/>
    <cellStyle name="Comma 6 2 7" xfId="3636" xr:uid="{00000000-0005-0000-0000-0000790D0000}"/>
    <cellStyle name="Comma 6 2 7 2" xfId="3637" xr:uid="{00000000-0005-0000-0000-00007A0D0000}"/>
    <cellStyle name="Comma 6 2 8" xfId="3638" xr:uid="{00000000-0005-0000-0000-00007B0D0000}"/>
    <cellStyle name="Comma 6 3" xfId="3639" xr:uid="{00000000-0005-0000-0000-00007C0D0000}"/>
    <cellStyle name="Comma 6 4" xfId="3640" xr:uid="{00000000-0005-0000-0000-00007D0D0000}"/>
    <cellStyle name="Comma 6 5" xfId="3641" xr:uid="{00000000-0005-0000-0000-00007E0D0000}"/>
    <cellStyle name="Comma 6 6" xfId="3642" xr:uid="{00000000-0005-0000-0000-00007F0D0000}"/>
    <cellStyle name="Comma 60" xfId="3643" xr:uid="{00000000-0005-0000-0000-0000800D0000}"/>
    <cellStyle name="Comma 60 2" xfId="3644" xr:uid="{00000000-0005-0000-0000-0000810D0000}"/>
    <cellStyle name="Comma 60 2 2" xfId="3645" xr:uid="{00000000-0005-0000-0000-0000820D0000}"/>
    <cellStyle name="Comma 60 2 2 2" xfId="3646" xr:uid="{00000000-0005-0000-0000-0000830D0000}"/>
    <cellStyle name="Comma 60 2 2 2 2" xfId="3647" xr:uid="{00000000-0005-0000-0000-0000840D0000}"/>
    <cellStyle name="Comma 60 2 2 2 2 2" xfId="3648" xr:uid="{00000000-0005-0000-0000-0000850D0000}"/>
    <cellStyle name="Comma 60 2 2 2 3" xfId="3649" xr:uid="{00000000-0005-0000-0000-0000860D0000}"/>
    <cellStyle name="Comma 60 2 2 2 3 2" xfId="3650" xr:uid="{00000000-0005-0000-0000-0000870D0000}"/>
    <cellStyle name="Comma 60 2 2 2 4" xfId="3651" xr:uid="{00000000-0005-0000-0000-0000880D0000}"/>
    <cellStyle name="Comma 60 2 2 3" xfId="3652" xr:uid="{00000000-0005-0000-0000-0000890D0000}"/>
    <cellStyle name="Comma 60 2 2 3 2" xfId="3653" xr:uid="{00000000-0005-0000-0000-00008A0D0000}"/>
    <cellStyle name="Comma 60 2 2 3 2 2" xfId="3654" xr:uid="{00000000-0005-0000-0000-00008B0D0000}"/>
    <cellStyle name="Comma 60 2 2 3 3" xfId="3655" xr:uid="{00000000-0005-0000-0000-00008C0D0000}"/>
    <cellStyle name="Comma 60 2 2 4" xfId="3656" xr:uid="{00000000-0005-0000-0000-00008D0D0000}"/>
    <cellStyle name="Comma 60 2 2 4 2" xfId="3657" xr:uid="{00000000-0005-0000-0000-00008E0D0000}"/>
    <cellStyle name="Comma 60 2 2 5" xfId="3658" xr:uid="{00000000-0005-0000-0000-00008F0D0000}"/>
    <cellStyle name="Comma 60 2 2 5 2" xfId="3659" xr:uid="{00000000-0005-0000-0000-0000900D0000}"/>
    <cellStyle name="Comma 60 2 2 6" xfId="3660" xr:uid="{00000000-0005-0000-0000-0000910D0000}"/>
    <cellStyle name="Comma 60 2 3" xfId="3661" xr:uid="{00000000-0005-0000-0000-0000920D0000}"/>
    <cellStyle name="Comma 60 2 3 2" xfId="3662" xr:uid="{00000000-0005-0000-0000-0000930D0000}"/>
    <cellStyle name="Comma 60 2 3 2 2" xfId="3663" xr:uid="{00000000-0005-0000-0000-0000940D0000}"/>
    <cellStyle name="Comma 60 2 3 3" xfId="3664" xr:uid="{00000000-0005-0000-0000-0000950D0000}"/>
    <cellStyle name="Comma 60 2 3 3 2" xfId="3665" xr:uid="{00000000-0005-0000-0000-0000960D0000}"/>
    <cellStyle name="Comma 60 2 3 4" xfId="3666" xr:uid="{00000000-0005-0000-0000-0000970D0000}"/>
    <cellStyle name="Comma 60 2 4" xfId="3667" xr:uid="{00000000-0005-0000-0000-0000980D0000}"/>
    <cellStyle name="Comma 60 2 4 2" xfId="3668" xr:uid="{00000000-0005-0000-0000-0000990D0000}"/>
    <cellStyle name="Comma 60 2 4 2 2" xfId="3669" xr:uid="{00000000-0005-0000-0000-00009A0D0000}"/>
    <cellStyle name="Comma 60 2 4 3" xfId="3670" xr:uid="{00000000-0005-0000-0000-00009B0D0000}"/>
    <cellStyle name="Comma 60 2 5" xfId="3671" xr:uid="{00000000-0005-0000-0000-00009C0D0000}"/>
    <cellStyle name="Comma 60 2 5 2" xfId="3672" xr:uid="{00000000-0005-0000-0000-00009D0D0000}"/>
    <cellStyle name="Comma 60 2 6" xfId="3673" xr:uid="{00000000-0005-0000-0000-00009E0D0000}"/>
    <cellStyle name="Comma 60 2 6 2" xfId="3674" xr:uid="{00000000-0005-0000-0000-00009F0D0000}"/>
    <cellStyle name="Comma 60 2 7" xfId="3675" xr:uid="{00000000-0005-0000-0000-0000A00D0000}"/>
    <cellStyle name="Comma 60 3" xfId="3676" xr:uid="{00000000-0005-0000-0000-0000A10D0000}"/>
    <cellStyle name="Comma 60 3 2" xfId="3677" xr:uid="{00000000-0005-0000-0000-0000A20D0000}"/>
    <cellStyle name="Comma 60 3 2 2" xfId="3678" xr:uid="{00000000-0005-0000-0000-0000A30D0000}"/>
    <cellStyle name="Comma 60 3 2 2 2" xfId="3679" xr:uid="{00000000-0005-0000-0000-0000A40D0000}"/>
    <cellStyle name="Comma 60 3 2 3" xfId="3680" xr:uid="{00000000-0005-0000-0000-0000A50D0000}"/>
    <cellStyle name="Comma 60 3 2 3 2" xfId="3681" xr:uid="{00000000-0005-0000-0000-0000A60D0000}"/>
    <cellStyle name="Comma 60 3 2 4" xfId="3682" xr:uid="{00000000-0005-0000-0000-0000A70D0000}"/>
    <cellStyle name="Comma 60 3 3" xfId="3683" xr:uid="{00000000-0005-0000-0000-0000A80D0000}"/>
    <cellStyle name="Comma 60 3 3 2" xfId="3684" xr:uid="{00000000-0005-0000-0000-0000A90D0000}"/>
    <cellStyle name="Comma 60 3 3 2 2" xfId="3685" xr:uid="{00000000-0005-0000-0000-0000AA0D0000}"/>
    <cellStyle name="Comma 60 3 3 3" xfId="3686" xr:uid="{00000000-0005-0000-0000-0000AB0D0000}"/>
    <cellStyle name="Comma 60 3 4" xfId="3687" xr:uid="{00000000-0005-0000-0000-0000AC0D0000}"/>
    <cellStyle name="Comma 60 3 4 2" xfId="3688" xr:uid="{00000000-0005-0000-0000-0000AD0D0000}"/>
    <cellStyle name="Comma 60 3 5" xfId="3689" xr:uid="{00000000-0005-0000-0000-0000AE0D0000}"/>
    <cellStyle name="Comma 60 3 5 2" xfId="3690" xr:uid="{00000000-0005-0000-0000-0000AF0D0000}"/>
    <cellStyle name="Comma 60 3 6" xfId="3691" xr:uid="{00000000-0005-0000-0000-0000B00D0000}"/>
    <cellStyle name="Comma 60 4" xfId="3692" xr:uid="{00000000-0005-0000-0000-0000B10D0000}"/>
    <cellStyle name="Comma 60 4 2" xfId="3693" xr:uid="{00000000-0005-0000-0000-0000B20D0000}"/>
    <cellStyle name="Comma 60 4 2 2" xfId="3694" xr:uid="{00000000-0005-0000-0000-0000B30D0000}"/>
    <cellStyle name="Comma 60 4 3" xfId="3695" xr:uid="{00000000-0005-0000-0000-0000B40D0000}"/>
    <cellStyle name="Comma 60 4 3 2" xfId="3696" xr:uid="{00000000-0005-0000-0000-0000B50D0000}"/>
    <cellStyle name="Comma 60 4 4" xfId="3697" xr:uid="{00000000-0005-0000-0000-0000B60D0000}"/>
    <cellStyle name="Comma 60 5" xfId="3698" xr:uid="{00000000-0005-0000-0000-0000B70D0000}"/>
    <cellStyle name="Comma 60 5 2" xfId="3699" xr:uid="{00000000-0005-0000-0000-0000B80D0000}"/>
    <cellStyle name="Comma 60 5 2 2" xfId="3700" xr:uid="{00000000-0005-0000-0000-0000B90D0000}"/>
    <cellStyle name="Comma 60 5 3" xfId="3701" xr:uid="{00000000-0005-0000-0000-0000BA0D0000}"/>
    <cellStyle name="Comma 60 6" xfId="3702" xr:uid="{00000000-0005-0000-0000-0000BB0D0000}"/>
    <cellStyle name="Comma 60 6 2" xfId="3703" xr:uid="{00000000-0005-0000-0000-0000BC0D0000}"/>
    <cellStyle name="Comma 60 7" xfId="3704" xr:uid="{00000000-0005-0000-0000-0000BD0D0000}"/>
    <cellStyle name="Comma 60 7 2" xfId="3705" xr:uid="{00000000-0005-0000-0000-0000BE0D0000}"/>
    <cellStyle name="Comma 60 8" xfId="3706" xr:uid="{00000000-0005-0000-0000-0000BF0D0000}"/>
    <cellStyle name="Comma 61" xfId="3707" xr:uid="{00000000-0005-0000-0000-0000C00D0000}"/>
    <cellStyle name="Comma 61 2" xfId="3708" xr:uid="{00000000-0005-0000-0000-0000C10D0000}"/>
    <cellStyle name="Comma 61 2 2" xfId="3709" xr:uid="{00000000-0005-0000-0000-0000C20D0000}"/>
    <cellStyle name="Comma 61 2 2 2" xfId="3710" xr:uid="{00000000-0005-0000-0000-0000C30D0000}"/>
    <cellStyle name="Comma 61 2 2 2 2" xfId="3711" xr:uid="{00000000-0005-0000-0000-0000C40D0000}"/>
    <cellStyle name="Comma 61 2 2 2 2 2" xfId="3712" xr:uid="{00000000-0005-0000-0000-0000C50D0000}"/>
    <cellStyle name="Comma 61 2 2 2 3" xfId="3713" xr:uid="{00000000-0005-0000-0000-0000C60D0000}"/>
    <cellStyle name="Comma 61 2 2 2 3 2" xfId="3714" xr:uid="{00000000-0005-0000-0000-0000C70D0000}"/>
    <cellStyle name="Comma 61 2 2 2 4" xfId="3715" xr:uid="{00000000-0005-0000-0000-0000C80D0000}"/>
    <cellStyle name="Comma 61 2 2 3" xfId="3716" xr:uid="{00000000-0005-0000-0000-0000C90D0000}"/>
    <cellStyle name="Comma 61 2 2 3 2" xfId="3717" xr:uid="{00000000-0005-0000-0000-0000CA0D0000}"/>
    <cellStyle name="Comma 61 2 2 3 2 2" xfId="3718" xr:uid="{00000000-0005-0000-0000-0000CB0D0000}"/>
    <cellStyle name="Comma 61 2 2 3 3" xfId="3719" xr:uid="{00000000-0005-0000-0000-0000CC0D0000}"/>
    <cellStyle name="Comma 61 2 2 4" xfId="3720" xr:uid="{00000000-0005-0000-0000-0000CD0D0000}"/>
    <cellStyle name="Comma 61 2 2 4 2" xfId="3721" xr:uid="{00000000-0005-0000-0000-0000CE0D0000}"/>
    <cellStyle name="Comma 61 2 2 5" xfId="3722" xr:uid="{00000000-0005-0000-0000-0000CF0D0000}"/>
    <cellStyle name="Comma 61 2 2 5 2" xfId="3723" xr:uid="{00000000-0005-0000-0000-0000D00D0000}"/>
    <cellStyle name="Comma 61 2 2 6" xfId="3724" xr:uid="{00000000-0005-0000-0000-0000D10D0000}"/>
    <cellStyle name="Comma 61 2 3" xfId="3725" xr:uid="{00000000-0005-0000-0000-0000D20D0000}"/>
    <cellStyle name="Comma 61 2 3 2" xfId="3726" xr:uid="{00000000-0005-0000-0000-0000D30D0000}"/>
    <cellStyle name="Comma 61 2 3 2 2" xfId="3727" xr:uid="{00000000-0005-0000-0000-0000D40D0000}"/>
    <cellStyle name="Comma 61 2 3 3" xfId="3728" xr:uid="{00000000-0005-0000-0000-0000D50D0000}"/>
    <cellStyle name="Comma 61 2 3 3 2" xfId="3729" xr:uid="{00000000-0005-0000-0000-0000D60D0000}"/>
    <cellStyle name="Comma 61 2 3 4" xfId="3730" xr:uid="{00000000-0005-0000-0000-0000D70D0000}"/>
    <cellStyle name="Comma 61 2 4" xfId="3731" xr:uid="{00000000-0005-0000-0000-0000D80D0000}"/>
    <cellStyle name="Comma 61 2 4 2" xfId="3732" xr:uid="{00000000-0005-0000-0000-0000D90D0000}"/>
    <cellStyle name="Comma 61 2 4 2 2" xfId="3733" xr:uid="{00000000-0005-0000-0000-0000DA0D0000}"/>
    <cellStyle name="Comma 61 2 4 3" xfId="3734" xr:uid="{00000000-0005-0000-0000-0000DB0D0000}"/>
    <cellStyle name="Comma 61 2 5" xfId="3735" xr:uid="{00000000-0005-0000-0000-0000DC0D0000}"/>
    <cellStyle name="Comma 61 2 5 2" xfId="3736" xr:uid="{00000000-0005-0000-0000-0000DD0D0000}"/>
    <cellStyle name="Comma 61 2 6" xfId="3737" xr:uid="{00000000-0005-0000-0000-0000DE0D0000}"/>
    <cellStyle name="Comma 61 2 6 2" xfId="3738" xr:uid="{00000000-0005-0000-0000-0000DF0D0000}"/>
    <cellStyle name="Comma 61 2 7" xfId="3739" xr:uid="{00000000-0005-0000-0000-0000E00D0000}"/>
    <cellStyle name="Comma 61 3" xfId="3740" xr:uid="{00000000-0005-0000-0000-0000E10D0000}"/>
    <cellStyle name="Comma 61 3 2" xfId="3741" xr:uid="{00000000-0005-0000-0000-0000E20D0000}"/>
    <cellStyle name="Comma 61 3 2 2" xfId="3742" xr:uid="{00000000-0005-0000-0000-0000E30D0000}"/>
    <cellStyle name="Comma 61 3 2 2 2" xfId="3743" xr:uid="{00000000-0005-0000-0000-0000E40D0000}"/>
    <cellStyle name="Comma 61 3 2 3" xfId="3744" xr:uid="{00000000-0005-0000-0000-0000E50D0000}"/>
    <cellStyle name="Comma 61 3 2 3 2" xfId="3745" xr:uid="{00000000-0005-0000-0000-0000E60D0000}"/>
    <cellStyle name="Comma 61 3 2 4" xfId="3746" xr:uid="{00000000-0005-0000-0000-0000E70D0000}"/>
    <cellStyle name="Comma 61 3 3" xfId="3747" xr:uid="{00000000-0005-0000-0000-0000E80D0000}"/>
    <cellStyle name="Comma 61 3 3 2" xfId="3748" xr:uid="{00000000-0005-0000-0000-0000E90D0000}"/>
    <cellStyle name="Comma 61 3 3 2 2" xfId="3749" xr:uid="{00000000-0005-0000-0000-0000EA0D0000}"/>
    <cellStyle name="Comma 61 3 3 3" xfId="3750" xr:uid="{00000000-0005-0000-0000-0000EB0D0000}"/>
    <cellStyle name="Comma 61 3 4" xfId="3751" xr:uid="{00000000-0005-0000-0000-0000EC0D0000}"/>
    <cellStyle name="Comma 61 3 4 2" xfId="3752" xr:uid="{00000000-0005-0000-0000-0000ED0D0000}"/>
    <cellStyle name="Comma 61 3 5" xfId="3753" xr:uid="{00000000-0005-0000-0000-0000EE0D0000}"/>
    <cellStyle name="Comma 61 3 5 2" xfId="3754" xr:uid="{00000000-0005-0000-0000-0000EF0D0000}"/>
    <cellStyle name="Comma 61 3 6" xfId="3755" xr:uid="{00000000-0005-0000-0000-0000F00D0000}"/>
    <cellStyle name="Comma 61 4" xfId="3756" xr:uid="{00000000-0005-0000-0000-0000F10D0000}"/>
    <cellStyle name="Comma 61 4 2" xfId="3757" xr:uid="{00000000-0005-0000-0000-0000F20D0000}"/>
    <cellStyle name="Comma 61 4 2 2" xfId="3758" xr:uid="{00000000-0005-0000-0000-0000F30D0000}"/>
    <cellStyle name="Comma 61 4 3" xfId="3759" xr:uid="{00000000-0005-0000-0000-0000F40D0000}"/>
    <cellStyle name="Comma 61 4 3 2" xfId="3760" xr:uid="{00000000-0005-0000-0000-0000F50D0000}"/>
    <cellStyle name="Comma 61 4 4" xfId="3761" xr:uid="{00000000-0005-0000-0000-0000F60D0000}"/>
    <cellStyle name="Comma 61 5" xfId="3762" xr:uid="{00000000-0005-0000-0000-0000F70D0000}"/>
    <cellStyle name="Comma 61 5 2" xfId="3763" xr:uid="{00000000-0005-0000-0000-0000F80D0000}"/>
    <cellStyle name="Comma 61 5 2 2" xfId="3764" xr:uid="{00000000-0005-0000-0000-0000F90D0000}"/>
    <cellStyle name="Comma 61 5 3" xfId="3765" xr:uid="{00000000-0005-0000-0000-0000FA0D0000}"/>
    <cellStyle name="Comma 61 6" xfId="3766" xr:uid="{00000000-0005-0000-0000-0000FB0D0000}"/>
    <cellStyle name="Comma 61 6 2" xfId="3767" xr:uid="{00000000-0005-0000-0000-0000FC0D0000}"/>
    <cellStyle name="Comma 61 7" xfId="3768" xr:uid="{00000000-0005-0000-0000-0000FD0D0000}"/>
    <cellStyle name="Comma 61 7 2" xfId="3769" xr:uid="{00000000-0005-0000-0000-0000FE0D0000}"/>
    <cellStyle name="Comma 61 8" xfId="3770" xr:uid="{00000000-0005-0000-0000-0000FF0D0000}"/>
    <cellStyle name="Comma 62" xfId="3771" xr:uid="{00000000-0005-0000-0000-0000000E0000}"/>
    <cellStyle name="Comma 62 2" xfId="3772" xr:uid="{00000000-0005-0000-0000-0000010E0000}"/>
    <cellStyle name="Comma 62 2 2" xfId="3773" xr:uid="{00000000-0005-0000-0000-0000020E0000}"/>
    <cellStyle name="Comma 62 2 2 2" xfId="3774" xr:uid="{00000000-0005-0000-0000-0000030E0000}"/>
    <cellStyle name="Comma 62 2 2 2 2" xfId="3775" xr:uid="{00000000-0005-0000-0000-0000040E0000}"/>
    <cellStyle name="Comma 62 2 2 2 2 2" xfId="3776" xr:uid="{00000000-0005-0000-0000-0000050E0000}"/>
    <cellStyle name="Comma 62 2 2 2 3" xfId="3777" xr:uid="{00000000-0005-0000-0000-0000060E0000}"/>
    <cellStyle name="Comma 62 2 2 2 3 2" xfId="3778" xr:uid="{00000000-0005-0000-0000-0000070E0000}"/>
    <cellStyle name="Comma 62 2 2 2 4" xfId="3779" xr:uid="{00000000-0005-0000-0000-0000080E0000}"/>
    <cellStyle name="Comma 62 2 2 3" xfId="3780" xr:uid="{00000000-0005-0000-0000-0000090E0000}"/>
    <cellStyle name="Comma 62 2 2 3 2" xfId="3781" xr:uid="{00000000-0005-0000-0000-00000A0E0000}"/>
    <cellStyle name="Comma 62 2 2 3 2 2" xfId="3782" xr:uid="{00000000-0005-0000-0000-00000B0E0000}"/>
    <cellStyle name="Comma 62 2 2 3 3" xfId="3783" xr:uid="{00000000-0005-0000-0000-00000C0E0000}"/>
    <cellStyle name="Comma 62 2 2 4" xfId="3784" xr:uid="{00000000-0005-0000-0000-00000D0E0000}"/>
    <cellStyle name="Comma 62 2 2 4 2" xfId="3785" xr:uid="{00000000-0005-0000-0000-00000E0E0000}"/>
    <cellStyle name="Comma 62 2 2 5" xfId="3786" xr:uid="{00000000-0005-0000-0000-00000F0E0000}"/>
    <cellStyle name="Comma 62 2 2 5 2" xfId="3787" xr:uid="{00000000-0005-0000-0000-0000100E0000}"/>
    <cellStyle name="Comma 62 2 2 6" xfId="3788" xr:uid="{00000000-0005-0000-0000-0000110E0000}"/>
    <cellStyle name="Comma 62 2 3" xfId="3789" xr:uid="{00000000-0005-0000-0000-0000120E0000}"/>
    <cellStyle name="Comma 62 2 3 2" xfId="3790" xr:uid="{00000000-0005-0000-0000-0000130E0000}"/>
    <cellStyle name="Comma 62 2 3 2 2" xfId="3791" xr:uid="{00000000-0005-0000-0000-0000140E0000}"/>
    <cellStyle name="Comma 62 2 3 3" xfId="3792" xr:uid="{00000000-0005-0000-0000-0000150E0000}"/>
    <cellStyle name="Comma 62 2 3 3 2" xfId="3793" xr:uid="{00000000-0005-0000-0000-0000160E0000}"/>
    <cellStyle name="Comma 62 2 3 4" xfId="3794" xr:uid="{00000000-0005-0000-0000-0000170E0000}"/>
    <cellStyle name="Comma 62 2 4" xfId="3795" xr:uid="{00000000-0005-0000-0000-0000180E0000}"/>
    <cellStyle name="Comma 62 2 4 2" xfId="3796" xr:uid="{00000000-0005-0000-0000-0000190E0000}"/>
    <cellStyle name="Comma 62 2 4 2 2" xfId="3797" xr:uid="{00000000-0005-0000-0000-00001A0E0000}"/>
    <cellStyle name="Comma 62 2 4 3" xfId="3798" xr:uid="{00000000-0005-0000-0000-00001B0E0000}"/>
    <cellStyle name="Comma 62 2 5" xfId="3799" xr:uid="{00000000-0005-0000-0000-00001C0E0000}"/>
    <cellStyle name="Comma 62 2 5 2" xfId="3800" xr:uid="{00000000-0005-0000-0000-00001D0E0000}"/>
    <cellStyle name="Comma 62 2 6" xfId="3801" xr:uid="{00000000-0005-0000-0000-00001E0E0000}"/>
    <cellStyle name="Comma 62 2 6 2" xfId="3802" xr:uid="{00000000-0005-0000-0000-00001F0E0000}"/>
    <cellStyle name="Comma 62 2 7" xfId="3803" xr:uid="{00000000-0005-0000-0000-0000200E0000}"/>
    <cellStyle name="Comma 62 3" xfId="3804" xr:uid="{00000000-0005-0000-0000-0000210E0000}"/>
    <cellStyle name="Comma 62 3 2" xfId="3805" xr:uid="{00000000-0005-0000-0000-0000220E0000}"/>
    <cellStyle name="Comma 62 3 2 2" xfId="3806" xr:uid="{00000000-0005-0000-0000-0000230E0000}"/>
    <cellStyle name="Comma 62 3 2 2 2" xfId="3807" xr:uid="{00000000-0005-0000-0000-0000240E0000}"/>
    <cellStyle name="Comma 62 3 2 3" xfId="3808" xr:uid="{00000000-0005-0000-0000-0000250E0000}"/>
    <cellStyle name="Comma 62 3 2 3 2" xfId="3809" xr:uid="{00000000-0005-0000-0000-0000260E0000}"/>
    <cellStyle name="Comma 62 3 2 4" xfId="3810" xr:uid="{00000000-0005-0000-0000-0000270E0000}"/>
    <cellStyle name="Comma 62 3 3" xfId="3811" xr:uid="{00000000-0005-0000-0000-0000280E0000}"/>
    <cellStyle name="Comma 62 3 3 2" xfId="3812" xr:uid="{00000000-0005-0000-0000-0000290E0000}"/>
    <cellStyle name="Comma 62 3 3 2 2" xfId="3813" xr:uid="{00000000-0005-0000-0000-00002A0E0000}"/>
    <cellStyle name="Comma 62 3 3 3" xfId="3814" xr:uid="{00000000-0005-0000-0000-00002B0E0000}"/>
    <cellStyle name="Comma 62 3 4" xfId="3815" xr:uid="{00000000-0005-0000-0000-00002C0E0000}"/>
    <cellStyle name="Comma 62 3 4 2" xfId="3816" xr:uid="{00000000-0005-0000-0000-00002D0E0000}"/>
    <cellStyle name="Comma 62 3 5" xfId="3817" xr:uid="{00000000-0005-0000-0000-00002E0E0000}"/>
    <cellStyle name="Comma 62 3 5 2" xfId="3818" xr:uid="{00000000-0005-0000-0000-00002F0E0000}"/>
    <cellStyle name="Comma 62 3 6" xfId="3819" xr:uid="{00000000-0005-0000-0000-0000300E0000}"/>
    <cellStyle name="Comma 62 4" xfId="3820" xr:uid="{00000000-0005-0000-0000-0000310E0000}"/>
    <cellStyle name="Comma 62 4 2" xfId="3821" xr:uid="{00000000-0005-0000-0000-0000320E0000}"/>
    <cellStyle name="Comma 62 4 2 2" xfId="3822" xr:uid="{00000000-0005-0000-0000-0000330E0000}"/>
    <cellStyle name="Comma 62 4 3" xfId="3823" xr:uid="{00000000-0005-0000-0000-0000340E0000}"/>
    <cellStyle name="Comma 62 4 3 2" xfId="3824" xr:uid="{00000000-0005-0000-0000-0000350E0000}"/>
    <cellStyle name="Comma 62 4 4" xfId="3825" xr:uid="{00000000-0005-0000-0000-0000360E0000}"/>
    <cellStyle name="Comma 62 5" xfId="3826" xr:uid="{00000000-0005-0000-0000-0000370E0000}"/>
    <cellStyle name="Comma 62 5 2" xfId="3827" xr:uid="{00000000-0005-0000-0000-0000380E0000}"/>
    <cellStyle name="Comma 62 5 2 2" xfId="3828" xr:uid="{00000000-0005-0000-0000-0000390E0000}"/>
    <cellStyle name="Comma 62 5 3" xfId="3829" xr:uid="{00000000-0005-0000-0000-00003A0E0000}"/>
    <cellStyle name="Comma 62 6" xfId="3830" xr:uid="{00000000-0005-0000-0000-00003B0E0000}"/>
    <cellStyle name="Comma 62 6 2" xfId="3831" xr:uid="{00000000-0005-0000-0000-00003C0E0000}"/>
    <cellStyle name="Comma 62 7" xfId="3832" xr:uid="{00000000-0005-0000-0000-00003D0E0000}"/>
    <cellStyle name="Comma 62 7 2" xfId="3833" xr:uid="{00000000-0005-0000-0000-00003E0E0000}"/>
    <cellStyle name="Comma 62 8" xfId="3834" xr:uid="{00000000-0005-0000-0000-00003F0E0000}"/>
    <cellStyle name="Comma 63" xfId="3835" xr:uid="{00000000-0005-0000-0000-0000400E0000}"/>
    <cellStyle name="Comma 63 2" xfId="3836" xr:uid="{00000000-0005-0000-0000-0000410E0000}"/>
    <cellStyle name="Comma 63 2 2" xfId="3837" xr:uid="{00000000-0005-0000-0000-0000420E0000}"/>
    <cellStyle name="Comma 63 2 2 2" xfId="3838" xr:uid="{00000000-0005-0000-0000-0000430E0000}"/>
    <cellStyle name="Comma 63 2 2 2 2" xfId="3839" xr:uid="{00000000-0005-0000-0000-0000440E0000}"/>
    <cellStyle name="Comma 63 2 2 2 2 2" xfId="3840" xr:uid="{00000000-0005-0000-0000-0000450E0000}"/>
    <cellStyle name="Comma 63 2 2 2 3" xfId="3841" xr:uid="{00000000-0005-0000-0000-0000460E0000}"/>
    <cellStyle name="Comma 63 2 2 2 3 2" xfId="3842" xr:uid="{00000000-0005-0000-0000-0000470E0000}"/>
    <cellStyle name="Comma 63 2 2 2 4" xfId="3843" xr:uid="{00000000-0005-0000-0000-0000480E0000}"/>
    <cellStyle name="Comma 63 2 2 3" xfId="3844" xr:uid="{00000000-0005-0000-0000-0000490E0000}"/>
    <cellStyle name="Comma 63 2 2 3 2" xfId="3845" xr:uid="{00000000-0005-0000-0000-00004A0E0000}"/>
    <cellStyle name="Comma 63 2 2 3 2 2" xfId="3846" xr:uid="{00000000-0005-0000-0000-00004B0E0000}"/>
    <cellStyle name="Comma 63 2 2 3 3" xfId="3847" xr:uid="{00000000-0005-0000-0000-00004C0E0000}"/>
    <cellStyle name="Comma 63 2 2 4" xfId="3848" xr:uid="{00000000-0005-0000-0000-00004D0E0000}"/>
    <cellStyle name="Comma 63 2 2 4 2" xfId="3849" xr:uid="{00000000-0005-0000-0000-00004E0E0000}"/>
    <cellStyle name="Comma 63 2 2 5" xfId="3850" xr:uid="{00000000-0005-0000-0000-00004F0E0000}"/>
    <cellStyle name="Comma 63 2 2 5 2" xfId="3851" xr:uid="{00000000-0005-0000-0000-0000500E0000}"/>
    <cellStyle name="Comma 63 2 2 6" xfId="3852" xr:uid="{00000000-0005-0000-0000-0000510E0000}"/>
    <cellStyle name="Comma 63 2 3" xfId="3853" xr:uid="{00000000-0005-0000-0000-0000520E0000}"/>
    <cellStyle name="Comma 63 2 3 2" xfId="3854" xr:uid="{00000000-0005-0000-0000-0000530E0000}"/>
    <cellStyle name="Comma 63 2 3 2 2" xfId="3855" xr:uid="{00000000-0005-0000-0000-0000540E0000}"/>
    <cellStyle name="Comma 63 2 3 3" xfId="3856" xr:uid="{00000000-0005-0000-0000-0000550E0000}"/>
    <cellStyle name="Comma 63 2 3 3 2" xfId="3857" xr:uid="{00000000-0005-0000-0000-0000560E0000}"/>
    <cellStyle name="Comma 63 2 3 4" xfId="3858" xr:uid="{00000000-0005-0000-0000-0000570E0000}"/>
    <cellStyle name="Comma 63 2 4" xfId="3859" xr:uid="{00000000-0005-0000-0000-0000580E0000}"/>
    <cellStyle name="Comma 63 2 4 2" xfId="3860" xr:uid="{00000000-0005-0000-0000-0000590E0000}"/>
    <cellStyle name="Comma 63 2 4 2 2" xfId="3861" xr:uid="{00000000-0005-0000-0000-00005A0E0000}"/>
    <cellStyle name="Comma 63 2 4 3" xfId="3862" xr:uid="{00000000-0005-0000-0000-00005B0E0000}"/>
    <cellStyle name="Comma 63 2 5" xfId="3863" xr:uid="{00000000-0005-0000-0000-00005C0E0000}"/>
    <cellStyle name="Comma 63 2 5 2" xfId="3864" xr:uid="{00000000-0005-0000-0000-00005D0E0000}"/>
    <cellStyle name="Comma 63 2 6" xfId="3865" xr:uid="{00000000-0005-0000-0000-00005E0E0000}"/>
    <cellStyle name="Comma 63 2 6 2" xfId="3866" xr:uid="{00000000-0005-0000-0000-00005F0E0000}"/>
    <cellStyle name="Comma 63 2 7" xfId="3867" xr:uid="{00000000-0005-0000-0000-0000600E0000}"/>
    <cellStyle name="Comma 63 3" xfId="3868" xr:uid="{00000000-0005-0000-0000-0000610E0000}"/>
    <cellStyle name="Comma 63 3 2" xfId="3869" xr:uid="{00000000-0005-0000-0000-0000620E0000}"/>
    <cellStyle name="Comma 63 3 2 2" xfId="3870" xr:uid="{00000000-0005-0000-0000-0000630E0000}"/>
    <cellStyle name="Comma 63 3 2 2 2" xfId="3871" xr:uid="{00000000-0005-0000-0000-0000640E0000}"/>
    <cellStyle name="Comma 63 3 2 3" xfId="3872" xr:uid="{00000000-0005-0000-0000-0000650E0000}"/>
    <cellStyle name="Comma 63 3 2 3 2" xfId="3873" xr:uid="{00000000-0005-0000-0000-0000660E0000}"/>
    <cellStyle name="Comma 63 3 2 4" xfId="3874" xr:uid="{00000000-0005-0000-0000-0000670E0000}"/>
    <cellStyle name="Comma 63 3 3" xfId="3875" xr:uid="{00000000-0005-0000-0000-0000680E0000}"/>
    <cellStyle name="Comma 63 3 3 2" xfId="3876" xr:uid="{00000000-0005-0000-0000-0000690E0000}"/>
    <cellStyle name="Comma 63 3 3 2 2" xfId="3877" xr:uid="{00000000-0005-0000-0000-00006A0E0000}"/>
    <cellStyle name="Comma 63 3 3 3" xfId="3878" xr:uid="{00000000-0005-0000-0000-00006B0E0000}"/>
    <cellStyle name="Comma 63 3 4" xfId="3879" xr:uid="{00000000-0005-0000-0000-00006C0E0000}"/>
    <cellStyle name="Comma 63 3 4 2" xfId="3880" xr:uid="{00000000-0005-0000-0000-00006D0E0000}"/>
    <cellStyle name="Comma 63 3 5" xfId="3881" xr:uid="{00000000-0005-0000-0000-00006E0E0000}"/>
    <cellStyle name="Comma 63 3 5 2" xfId="3882" xr:uid="{00000000-0005-0000-0000-00006F0E0000}"/>
    <cellStyle name="Comma 63 3 6" xfId="3883" xr:uid="{00000000-0005-0000-0000-0000700E0000}"/>
    <cellStyle name="Comma 63 4" xfId="3884" xr:uid="{00000000-0005-0000-0000-0000710E0000}"/>
    <cellStyle name="Comma 63 4 2" xfId="3885" xr:uid="{00000000-0005-0000-0000-0000720E0000}"/>
    <cellStyle name="Comma 63 4 2 2" xfId="3886" xr:uid="{00000000-0005-0000-0000-0000730E0000}"/>
    <cellStyle name="Comma 63 4 3" xfId="3887" xr:uid="{00000000-0005-0000-0000-0000740E0000}"/>
    <cellStyle name="Comma 63 4 3 2" xfId="3888" xr:uid="{00000000-0005-0000-0000-0000750E0000}"/>
    <cellStyle name="Comma 63 4 4" xfId="3889" xr:uid="{00000000-0005-0000-0000-0000760E0000}"/>
    <cellStyle name="Comma 63 5" xfId="3890" xr:uid="{00000000-0005-0000-0000-0000770E0000}"/>
    <cellStyle name="Comma 63 5 2" xfId="3891" xr:uid="{00000000-0005-0000-0000-0000780E0000}"/>
    <cellStyle name="Comma 63 5 2 2" xfId="3892" xr:uid="{00000000-0005-0000-0000-0000790E0000}"/>
    <cellStyle name="Comma 63 5 3" xfId="3893" xr:uid="{00000000-0005-0000-0000-00007A0E0000}"/>
    <cellStyle name="Comma 63 6" xfId="3894" xr:uid="{00000000-0005-0000-0000-00007B0E0000}"/>
    <cellStyle name="Comma 63 6 2" xfId="3895" xr:uid="{00000000-0005-0000-0000-00007C0E0000}"/>
    <cellStyle name="Comma 63 7" xfId="3896" xr:uid="{00000000-0005-0000-0000-00007D0E0000}"/>
    <cellStyle name="Comma 63 7 2" xfId="3897" xr:uid="{00000000-0005-0000-0000-00007E0E0000}"/>
    <cellStyle name="Comma 63 8" xfId="3898" xr:uid="{00000000-0005-0000-0000-00007F0E0000}"/>
    <cellStyle name="Comma 64" xfId="3899" xr:uid="{00000000-0005-0000-0000-0000800E0000}"/>
    <cellStyle name="Comma 64 2" xfId="3900" xr:uid="{00000000-0005-0000-0000-0000810E0000}"/>
    <cellStyle name="Comma 64 2 2" xfId="3901" xr:uid="{00000000-0005-0000-0000-0000820E0000}"/>
    <cellStyle name="Comma 64 2 2 2" xfId="3902" xr:uid="{00000000-0005-0000-0000-0000830E0000}"/>
    <cellStyle name="Comma 64 2 2 2 2" xfId="3903" xr:uid="{00000000-0005-0000-0000-0000840E0000}"/>
    <cellStyle name="Comma 64 2 2 2 2 2" xfId="3904" xr:uid="{00000000-0005-0000-0000-0000850E0000}"/>
    <cellStyle name="Comma 64 2 2 2 3" xfId="3905" xr:uid="{00000000-0005-0000-0000-0000860E0000}"/>
    <cellStyle name="Comma 64 2 2 2 3 2" xfId="3906" xr:uid="{00000000-0005-0000-0000-0000870E0000}"/>
    <cellStyle name="Comma 64 2 2 2 4" xfId="3907" xr:uid="{00000000-0005-0000-0000-0000880E0000}"/>
    <cellStyle name="Comma 64 2 2 3" xfId="3908" xr:uid="{00000000-0005-0000-0000-0000890E0000}"/>
    <cellStyle name="Comma 64 2 2 3 2" xfId="3909" xr:uid="{00000000-0005-0000-0000-00008A0E0000}"/>
    <cellStyle name="Comma 64 2 2 3 2 2" xfId="3910" xr:uid="{00000000-0005-0000-0000-00008B0E0000}"/>
    <cellStyle name="Comma 64 2 2 3 3" xfId="3911" xr:uid="{00000000-0005-0000-0000-00008C0E0000}"/>
    <cellStyle name="Comma 64 2 2 4" xfId="3912" xr:uid="{00000000-0005-0000-0000-00008D0E0000}"/>
    <cellStyle name="Comma 64 2 2 4 2" xfId="3913" xr:uid="{00000000-0005-0000-0000-00008E0E0000}"/>
    <cellStyle name="Comma 64 2 2 5" xfId="3914" xr:uid="{00000000-0005-0000-0000-00008F0E0000}"/>
    <cellStyle name="Comma 64 2 2 5 2" xfId="3915" xr:uid="{00000000-0005-0000-0000-0000900E0000}"/>
    <cellStyle name="Comma 64 2 2 6" xfId="3916" xr:uid="{00000000-0005-0000-0000-0000910E0000}"/>
    <cellStyle name="Comma 64 2 3" xfId="3917" xr:uid="{00000000-0005-0000-0000-0000920E0000}"/>
    <cellStyle name="Comma 64 2 3 2" xfId="3918" xr:uid="{00000000-0005-0000-0000-0000930E0000}"/>
    <cellStyle name="Comma 64 2 3 2 2" xfId="3919" xr:uid="{00000000-0005-0000-0000-0000940E0000}"/>
    <cellStyle name="Comma 64 2 3 3" xfId="3920" xr:uid="{00000000-0005-0000-0000-0000950E0000}"/>
    <cellStyle name="Comma 64 2 3 3 2" xfId="3921" xr:uid="{00000000-0005-0000-0000-0000960E0000}"/>
    <cellStyle name="Comma 64 2 3 4" xfId="3922" xr:uid="{00000000-0005-0000-0000-0000970E0000}"/>
    <cellStyle name="Comma 64 2 4" xfId="3923" xr:uid="{00000000-0005-0000-0000-0000980E0000}"/>
    <cellStyle name="Comma 64 2 4 2" xfId="3924" xr:uid="{00000000-0005-0000-0000-0000990E0000}"/>
    <cellStyle name="Comma 64 2 4 2 2" xfId="3925" xr:uid="{00000000-0005-0000-0000-00009A0E0000}"/>
    <cellStyle name="Comma 64 2 4 3" xfId="3926" xr:uid="{00000000-0005-0000-0000-00009B0E0000}"/>
    <cellStyle name="Comma 64 2 5" xfId="3927" xr:uid="{00000000-0005-0000-0000-00009C0E0000}"/>
    <cellStyle name="Comma 64 2 5 2" xfId="3928" xr:uid="{00000000-0005-0000-0000-00009D0E0000}"/>
    <cellStyle name="Comma 64 2 6" xfId="3929" xr:uid="{00000000-0005-0000-0000-00009E0E0000}"/>
    <cellStyle name="Comma 64 2 6 2" xfId="3930" xr:uid="{00000000-0005-0000-0000-00009F0E0000}"/>
    <cellStyle name="Comma 64 2 7" xfId="3931" xr:uid="{00000000-0005-0000-0000-0000A00E0000}"/>
    <cellStyle name="Comma 64 3" xfId="3932" xr:uid="{00000000-0005-0000-0000-0000A10E0000}"/>
    <cellStyle name="Comma 64 3 2" xfId="3933" xr:uid="{00000000-0005-0000-0000-0000A20E0000}"/>
    <cellStyle name="Comma 64 3 2 2" xfId="3934" xr:uid="{00000000-0005-0000-0000-0000A30E0000}"/>
    <cellStyle name="Comma 64 3 2 2 2" xfId="3935" xr:uid="{00000000-0005-0000-0000-0000A40E0000}"/>
    <cellStyle name="Comma 64 3 2 3" xfId="3936" xr:uid="{00000000-0005-0000-0000-0000A50E0000}"/>
    <cellStyle name="Comma 64 3 2 3 2" xfId="3937" xr:uid="{00000000-0005-0000-0000-0000A60E0000}"/>
    <cellStyle name="Comma 64 3 2 4" xfId="3938" xr:uid="{00000000-0005-0000-0000-0000A70E0000}"/>
    <cellStyle name="Comma 64 3 3" xfId="3939" xr:uid="{00000000-0005-0000-0000-0000A80E0000}"/>
    <cellStyle name="Comma 64 3 3 2" xfId="3940" xr:uid="{00000000-0005-0000-0000-0000A90E0000}"/>
    <cellStyle name="Comma 64 3 3 2 2" xfId="3941" xr:uid="{00000000-0005-0000-0000-0000AA0E0000}"/>
    <cellStyle name="Comma 64 3 3 3" xfId="3942" xr:uid="{00000000-0005-0000-0000-0000AB0E0000}"/>
    <cellStyle name="Comma 64 3 4" xfId="3943" xr:uid="{00000000-0005-0000-0000-0000AC0E0000}"/>
    <cellStyle name="Comma 64 3 4 2" xfId="3944" xr:uid="{00000000-0005-0000-0000-0000AD0E0000}"/>
    <cellStyle name="Comma 64 3 5" xfId="3945" xr:uid="{00000000-0005-0000-0000-0000AE0E0000}"/>
    <cellStyle name="Comma 64 3 5 2" xfId="3946" xr:uid="{00000000-0005-0000-0000-0000AF0E0000}"/>
    <cellStyle name="Comma 64 3 6" xfId="3947" xr:uid="{00000000-0005-0000-0000-0000B00E0000}"/>
    <cellStyle name="Comma 64 4" xfId="3948" xr:uid="{00000000-0005-0000-0000-0000B10E0000}"/>
    <cellStyle name="Comma 64 4 2" xfId="3949" xr:uid="{00000000-0005-0000-0000-0000B20E0000}"/>
    <cellStyle name="Comma 64 4 2 2" xfId="3950" xr:uid="{00000000-0005-0000-0000-0000B30E0000}"/>
    <cellStyle name="Comma 64 4 3" xfId="3951" xr:uid="{00000000-0005-0000-0000-0000B40E0000}"/>
    <cellStyle name="Comma 64 4 3 2" xfId="3952" xr:uid="{00000000-0005-0000-0000-0000B50E0000}"/>
    <cellStyle name="Comma 64 4 4" xfId="3953" xr:uid="{00000000-0005-0000-0000-0000B60E0000}"/>
    <cellStyle name="Comma 64 5" xfId="3954" xr:uid="{00000000-0005-0000-0000-0000B70E0000}"/>
    <cellStyle name="Comma 64 5 2" xfId="3955" xr:uid="{00000000-0005-0000-0000-0000B80E0000}"/>
    <cellStyle name="Comma 64 5 2 2" xfId="3956" xr:uid="{00000000-0005-0000-0000-0000B90E0000}"/>
    <cellStyle name="Comma 64 5 3" xfId="3957" xr:uid="{00000000-0005-0000-0000-0000BA0E0000}"/>
    <cellStyle name="Comma 64 6" xfId="3958" xr:uid="{00000000-0005-0000-0000-0000BB0E0000}"/>
    <cellStyle name="Comma 64 6 2" xfId="3959" xr:uid="{00000000-0005-0000-0000-0000BC0E0000}"/>
    <cellStyle name="Comma 64 7" xfId="3960" xr:uid="{00000000-0005-0000-0000-0000BD0E0000}"/>
    <cellStyle name="Comma 64 7 2" xfId="3961" xr:uid="{00000000-0005-0000-0000-0000BE0E0000}"/>
    <cellStyle name="Comma 64 8" xfId="3962" xr:uid="{00000000-0005-0000-0000-0000BF0E0000}"/>
    <cellStyle name="Comma 65" xfId="3963" xr:uid="{00000000-0005-0000-0000-0000C00E0000}"/>
    <cellStyle name="Comma 65 2" xfId="3964" xr:uid="{00000000-0005-0000-0000-0000C10E0000}"/>
    <cellStyle name="Comma 65 2 2" xfId="3965" xr:uid="{00000000-0005-0000-0000-0000C20E0000}"/>
    <cellStyle name="Comma 65 2 2 2" xfId="3966" xr:uid="{00000000-0005-0000-0000-0000C30E0000}"/>
    <cellStyle name="Comma 65 2 2 2 2" xfId="3967" xr:uid="{00000000-0005-0000-0000-0000C40E0000}"/>
    <cellStyle name="Comma 65 2 2 2 2 2" xfId="3968" xr:uid="{00000000-0005-0000-0000-0000C50E0000}"/>
    <cellStyle name="Comma 65 2 2 2 3" xfId="3969" xr:uid="{00000000-0005-0000-0000-0000C60E0000}"/>
    <cellStyle name="Comma 65 2 2 2 3 2" xfId="3970" xr:uid="{00000000-0005-0000-0000-0000C70E0000}"/>
    <cellStyle name="Comma 65 2 2 2 4" xfId="3971" xr:uid="{00000000-0005-0000-0000-0000C80E0000}"/>
    <cellStyle name="Comma 65 2 2 3" xfId="3972" xr:uid="{00000000-0005-0000-0000-0000C90E0000}"/>
    <cellStyle name="Comma 65 2 2 3 2" xfId="3973" xr:uid="{00000000-0005-0000-0000-0000CA0E0000}"/>
    <cellStyle name="Comma 65 2 2 3 2 2" xfId="3974" xr:uid="{00000000-0005-0000-0000-0000CB0E0000}"/>
    <cellStyle name="Comma 65 2 2 3 3" xfId="3975" xr:uid="{00000000-0005-0000-0000-0000CC0E0000}"/>
    <cellStyle name="Comma 65 2 2 4" xfId="3976" xr:uid="{00000000-0005-0000-0000-0000CD0E0000}"/>
    <cellStyle name="Comma 65 2 2 4 2" xfId="3977" xr:uid="{00000000-0005-0000-0000-0000CE0E0000}"/>
    <cellStyle name="Comma 65 2 2 5" xfId="3978" xr:uid="{00000000-0005-0000-0000-0000CF0E0000}"/>
    <cellStyle name="Comma 65 2 2 5 2" xfId="3979" xr:uid="{00000000-0005-0000-0000-0000D00E0000}"/>
    <cellStyle name="Comma 65 2 2 6" xfId="3980" xr:uid="{00000000-0005-0000-0000-0000D10E0000}"/>
    <cellStyle name="Comma 65 2 3" xfId="3981" xr:uid="{00000000-0005-0000-0000-0000D20E0000}"/>
    <cellStyle name="Comma 65 2 3 2" xfId="3982" xr:uid="{00000000-0005-0000-0000-0000D30E0000}"/>
    <cellStyle name="Comma 65 2 3 2 2" xfId="3983" xr:uid="{00000000-0005-0000-0000-0000D40E0000}"/>
    <cellStyle name="Comma 65 2 3 3" xfId="3984" xr:uid="{00000000-0005-0000-0000-0000D50E0000}"/>
    <cellStyle name="Comma 65 2 3 3 2" xfId="3985" xr:uid="{00000000-0005-0000-0000-0000D60E0000}"/>
    <cellStyle name="Comma 65 2 3 4" xfId="3986" xr:uid="{00000000-0005-0000-0000-0000D70E0000}"/>
    <cellStyle name="Comma 65 2 4" xfId="3987" xr:uid="{00000000-0005-0000-0000-0000D80E0000}"/>
    <cellStyle name="Comma 65 2 4 2" xfId="3988" xr:uid="{00000000-0005-0000-0000-0000D90E0000}"/>
    <cellStyle name="Comma 65 2 4 2 2" xfId="3989" xr:uid="{00000000-0005-0000-0000-0000DA0E0000}"/>
    <cellStyle name="Comma 65 2 4 3" xfId="3990" xr:uid="{00000000-0005-0000-0000-0000DB0E0000}"/>
    <cellStyle name="Comma 65 2 5" xfId="3991" xr:uid="{00000000-0005-0000-0000-0000DC0E0000}"/>
    <cellStyle name="Comma 65 2 5 2" xfId="3992" xr:uid="{00000000-0005-0000-0000-0000DD0E0000}"/>
    <cellStyle name="Comma 65 2 6" xfId="3993" xr:uid="{00000000-0005-0000-0000-0000DE0E0000}"/>
    <cellStyle name="Comma 65 2 6 2" xfId="3994" xr:uid="{00000000-0005-0000-0000-0000DF0E0000}"/>
    <cellStyle name="Comma 65 2 7" xfId="3995" xr:uid="{00000000-0005-0000-0000-0000E00E0000}"/>
    <cellStyle name="Comma 65 3" xfId="3996" xr:uid="{00000000-0005-0000-0000-0000E10E0000}"/>
    <cellStyle name="Comma 65 3 2" xfId="3997" xr:uid="{00000000-0005-0000-0000-0000E20E0000}"/>
    <cellStyle name="Comma 65 3 2 2" xfId="3998" xr:uid="{00000000-0005-0000-0000-0000E30E0000}"/>
    <cellStyle name="Comma 65 3 2 2 2" xfId="3999" xr:uid="{00000000-0005-0000-0000-0000E40E0000}"/>
    <cellStyle name="Comma 65 3 2 3" xfId="4000" xr:uid="{00000000-0005-0000-0000-0000E50E0000}"/>
    <cellStyle name="Comma 65 3 2 3 2" xfId="4001" xr:uid="{00000000-0005-0000-0000-0000E60E0000}"/>
    <cellStyle name="Comma 65 3 2 4" xfId="4002" xr:uid="{00000000-0005-0000-0000-0000E70E0000}"/>
    <cellStyle name="Comma 65 3 3" xfId="4003" xr:uid="{00000000-0005-0000-0000-0000E80E0000}"/>
    <cellStyle name="Comma 65 3 3 2" xfId="4004" xr:uid="{00000000-0005-0000-0000-0000E90E0000}"/>
    <cellStyle name="Comma 65 3 3 2 2" xfId="4005" xr:uid="{00000000-0005-0000-0000-0000EA0E0000}"/>
    <cellStyle name="Comma 65 3 3 3" xfId="4006" xr:uid="{00000000-0005-0000-0000-0000EB0E0000}"/>
    <cellStyle name="Comma 65 3 4" xfId="4007" xr:uid="{00000000-0005-0000-0000-0000EC0E0000}"/>
    <cellStyle name="Comma 65 3 4 2" xfId="4008" xr:uid="{00000000-0005-0000-0000-0000ED0E0000}"/>
    <cellStyle name="Comma 65 3 5" xfId="4009" xr:uid="{00000000-0005-0000-0000-0000EE0E0000}"/>
    <cellStyle name="Comma 65 3 5 2" xfId="4010" xr:uid="{00000000-0005-0000-0000-0000EF0E0000}"/>
    <cellStyle name="Comma 65 3 6" xfId="4011" xr:uid="{00000000-0005-0000-0000-0000F00E0000}"/>
    <cellStyle name="Comma 65 4" xfId="4012" xr:uid="{00000000-0005-0000-0000-0000F10E0000}"/>
    <cellStyle name="Comma 65 4 2" xfId="4013" xr:uid="{00000000-0005-0000-0000-0000F20E0000}"/>
    <cellStyle name="Comma 65 4 2 2" xfId="4014" xr:uid="{00000000-0005-0000-0000-0000F30E0000}"/>
    <cellStyle name="Comma 65 4 3" xfId="4015" xr:uid="{00000000-0005-0000-0000-0000F40E0000}"/>
    <cellStyle name="Comma 65 4 3 2" xfId="4016" xr:uid="{00000000-0005-0000-0000-0000F50E0000}"/>
    <cellStyle name="Comma 65 4 4" xfId="4017" xr:uid="{00000000-0005-0000-0000-0000F60E0000}"/>
    <cellStyle name="Comma 65 5" xfId="4018" xr:uid="{00000000-0005-0000-0000-0000F70E0000}"/>
    <cellStyle name="Comma 65 5 2" xfId="4019" xr:uid="{00000000-0005-0000-0000-0000F80E0000}"/>
    <cellStyle name="Comma 65 5 2 2" xfId="4020" xr:uid="{00000000-0005-0000-0000-0000F90E0000}"/>
    <cellStyle name="Comma 65 5 3" xfId="4021" xr:uid="{00000000-0005-0000-0000-0000FA0E0000}"/>
    <cellStyle name="Comma 65 6" xfId="4022" xr:uid="{00000000-0005-0000-0000-0000FB0E0000}"/>
    <cellStyle name="Comma 65 6 2" xfId="4023" xr:uid="{00000000-0005-0000-0000-0000FC0E0000}"/>
    <cellStyle name="Comma 65 7" xfId="4024" xr:uid="{00000000-0005-0000-0000-0000FD0E0000}"/>
    <cellStyle name="Comma 65 7 2" xfId="4025" xr:uid="{00000000-0005-0000-0000-0000FE0E0000}"/>
    <cellStyle name="Comma 65 8" xfId="4026" xr:uid="{00000000-0005-0000-0000-0000FF0E0000}"/>
    <cellStyle name="Comma 66" xfId="4027" xr:uid="{00000000-0005-0000-0000-0000000F0000}"/>
    <cellStyle name="Comma 66 2" xfId="4028" xr:uid="{00000000-0005-0000-0000-0000010F0000}"/>
    <cellStyle name="Comma 66 2 2" xfId="4029" xr:uid="{00000000-0005-0000-0000-0000020F0000}"/>
    <cellStyle name="Comma 66 2 2 2" xfId="4030" xr:uid="{00000000-0005-0000-0000-0000030F0000}"/>
    <cellStyle name="Comma 66 2 2 2 2" xfId="4031" xr:uid="{00000000-0005-0000-0000-0000040F0000}"/>
    <cellStyle name="Comma 66 2 2 2 2 2" xfId="4032" xr:uid="{00000000-0005-0000-0000-0000050F0000}"/>
    <cellStyle name="Comma 66 2 2 2 3" xfId="4033" xr:uid="{00000000-0005-0000-0000-0000060F0000}"/>
    <cellStyle name="Comma 66 2 2 2 3 2" xfId="4034" xr:uid="{00000000-0005-0000-0000-0000070F0000}"/>
    <cellStyle name="Comma 66 2 2 2 4" xfId="4035" xr:uid="{00000000-0005-0000-0000-0000080F0000}"/>
    <cellStyle name="Comma 66 2 2 3" xfId="4036" xr:uid="{00000000-0005-0000-0000-0000090F0000}"/>
    <cellStyle name="Comma 66 2 2 3 2" xfId="4037" xr:uid="{00000000-0005-0000-0000-00000A0F0000}"/>
    <cellStyle name="Comma 66 2 2 3 2 2" xfId="4038" xr:uid="{00000000-0005-0000-0000-00000B0F0000}"/>
    <cellStyle name="Comma 66 2 2 3 3" xfId="4039" xr:uid="{00000000-0005-0000-0000-00000C0F0000}"/>
    <cellStyle name="Comma 66 2 2 4" xfId="4040" xr:uid="{00000000-0005-0000-0000-00000D0F0000}"/>
    <cellStyle name="Comma 66 2 2 4 2" xfId="4041" xr:uid="{00000000-0005-0000-0000-00000E0F0000}"/>
    <cellStyle name="Comma 66 2 2 5" xfId="4042" xr:uid="{00000000-0005-0000-0000-00000F0F0000}"/>
    <cellStyle name="Comma 66 2 2 5 2" xfId="4043" xr:uid="{00000000-0005-0000-0000-0000100F0000}"/>
    <cellStyle name="Comma 66 2 2 6" xfId="4044" xr:uid="{00000000-0005-0000-0000-0000110F0000}"/>
    <cellStyle name="Comma 66 2 3" xfId="4045" xr:uid="{00000000-0005-0000-0000-0000120F0000}"/>
    <cellStyle name="Comma 66 2 3 2" xfId="4046" xr:uid="{00000000-0005-0000-0000-0000130F0000}"/>
    <cellStyle name="Comma 66 2 3 2 2" xfId="4047" xr:uid="{00000000-0005-0000-0000-0000140F0000}"/>
    <cellStyle name="Comma 66 2 3 3" xfId="4048" xr:uid="{00000000-0005-0000-0000-0000150F0000}"/>
    <cellStyle name="Comma 66 2 3 3 2" xfId="4049" xr:uid="{00000000-0005-0000-0000-0000160F0000}"/>
    <cellStyle name="Comma 66 2 3 4" xfId="4050" xr:uid="{00000000-0005-0000-0000-0000170F0000}"/>
    <cellStyle name="Comma 66 2 4" xfId="4051" xr:uid="{00000000-0005-0000-0000-0000180F0000}"/>
    <cellStyle name="Comma 66 2 4 2" xfId="4052" xr:uid="{00000000-0005-0000-0000-0000190F0000}"/>
    <cellStyle name="Comma 66 2 4 2 2" xfId="4053" xr:uid="{00000000-0005-0000-0000-00001A0F0000}"/>
    <cellStyle name="Comma 66 2 4 3" xfId="4054" xr:uid="{00000000-0005-0000-0000-00001B0F0000}"/>
    <cellStyle name="Comma 66 2 5" xfId="4055" xr:uid="{00000000-0005-0000-0000-00001C0F0000}"/>
    <cellStyle name="Comma 66 2 5 2" xfId="4056" xr:uid="{00000000-0005-0000-0000-00001D0F0000}"/>
    <cellStyle name="Comma 66 2 6" xfId="4057" xr:uid="{00000000-0005-0000-0000-00001E0F0000}"/>
    <cellStyle name="Comma 66 2 6 2" xfId="4058" xr:uid="{00000000-0005-0000-0000-00001F0F0000}"/>
    <cellStyle name="Comma 66 2 7" xfId="4059" xr:uid="{00000000-0005-0000-0000-0000200F0000}"/>
    <cellStyle name="Comma 66 3" xfId="4060" xr:uid="{00000000-0005-0000-0000-0000210F0000}"/>
    <cellStyle name="Comma 66 3 2" xfId="4061" xr:uid="{00000000-0005-0000-0000-0000220F0000}"/>
    <cellStyle name="Comma 66 3 2 2" xfId="4062" xr:uid="{00000000-0005-0000-0000-0000230F0000}"/>
    <cellStyle name="Comma 66 3 2 2 2" xfId="4063" xr:uid="{00000000-0005-0000-0000-0000240F0000}"/>
    <cellStyle name="Comma 66 3 2 3" xfId="4064" xr:uid="{00000000-0005-0000-0000-0000250F0000}"/>
    <cellStyle name="Comma 66 3 2 3 2" xfId="4065" xr:uid="{00000000-0005-0000-0000-0000260F0000}"/>
    <cellStyle name="Comma 66 3 2 4" xfId="4066" xr:uid="{00000000-0005-0000-0000-0000270F0000}"/>
    <cellStyle name="Comma 66 3 3" xfId="4067" xr:uid="{00000000-0005-0000-0000-0000280F0000}"/>
    <cellStyle name="Comma 66 3 3 2" xfId="4068" xr:uid="{00000000-0005-0000-0000-0000290F0000}"/>
    <cellStyle name="Comma 66 3 3 2 2" xfId="4069" xr:uid="{00000000-0005-0000-0000-00002A0F0000}"/>
    <cellStyle name="Comma 66 3 3 3" xfId="4070" xr:uid="{00000000-0005-0000-0000-00002B0F0000}"/>
    <cellStyle name="Comma 66 3 4" xfId="4071" xr:uid="{00000000-0005-0000-0000-00002C0F0000}"/>
    <cellStyle name="Comma 66 3 4 2" xfId="4072" xr:uid="{00000000-0005-0000-0000-00002D0F0000}"/>
    <cellStyle name="Comma 66 3 5" xfId="4073" xr:uid="{00000000-0005-0000-0000-00002E0F0000}"/>
    <cellStyle name="Comma 66 3 5 2" xfId="4074" xr:uid="{00000000-0005-0000-0000-00002F0F0000}"/>
    <cellStyle name="Comma 66 3 6" xfId="4075" xr:uid="{00000000-0005-0000-0000-0000300F0000}"/>
    <cellStyle name="Comma 66 4" xfId="4076" xr:uid="{00000000-0005-0000-0000-0000310F0000}"/>
    <cellStyle name="Comma 66 4 2" xfId="4077" xr:uid="{00000000-0005-0000-0000-0000320F0000}"/>
    <cellStyle name="Comma 66 4 2 2" xfId="4078" xr:uid="{00000000-0005-0000-0000-0000330F0000}"/>
    <cellStyle name="Comma 66 4 3" xfId="4079" xr:uid="{00000000-0005-0000-0000-0000340F0000}"/>
    <cellStyle name="Comma 66 4 3 2" xfId="4080" xr:uid="{00000000-0005-0000-0000-0000350F0000}"/>
    <cellStyle name="Comma 66 4 4" xfId="4081" xr:uid="{00000000-0005-0000-0000-0000360F0000}"/>
    <cellStyle name="Comma 66 5" xfId="4082" xr:uid="{00000000-0005-0000-0000-0000370F0000}"/>
    <cellStyle name="Comma 66 5 2" xfId="4083" xr:uid="{00000000-0005-0000-0000-0000380F0000}"/>
    <cellStyle name="Comma 66 5 2 2" xfId="4084" xr:uid="{00000000-0005-0000-0000-0000390F0000}"/>
    <cellStyle name="Comma 66 5 3" xfId="4085" xr:uid="{00000000-0005-0000-0000-00003A0F0000}"/>
    <cellStyle name="Comma 66 6" xfId="4086" xr:uid="{00000000-0005-0000-0000-00003B0F0000}"/>
    <cellStyle name="Comma 66 6 2" xfId="4087" xr:uid="{00000000-0005-0000-0000-00003C0F0000}"/>
    <cellStyle name="Comma 66 7" xfId="4088" xr:uid="{00000000-0005-0000-0000-00003D0F0000}"/>
    <cellStyle name="Comma 66 7 2" xfId="4089" xr:uid="{00000000-0005-0000-0000-00003E0F0000}"/>
    <cellStyle name="Comma 66 8" xfId="4090" xr:uid="{00000000-0005-0000-0000-00003F0F0000}"/>
    <cellStyle name="Comma 67" xfId="4091" xr:uid="{00000000-0005-0000-0000-0000400F0000}"/>
    <cellStyle name="Comma 67 2" xfId="4092" xr:uid="{00000000-0005-0000-0000-0000410F0000}"/>
    <cellStyle name="Comma 67 2 2" xfId="4093" xr:uid="{00000000-0005-0000-0000-0000420F0000}"/>
    <cellStyle name="Comma 67 2 2 2" xfId="4094" xr:uid="{00000000-0005-0000-0000-0000430F0000}"/>
    <cellStyle name="Comma 67 2 2 2 2" xfId="4095" xr:uid="{00000000-0005-0000-0000-0000440F0000}"/>
    <cellStyle name="Comma 67 2 2 2 2 2" xfId="4096" xr:uid="{00000000-0005-0000-0000-0000450F0000}"/>
    <cellStyle name="Comma 67 2 2 2 3" xfId="4097" xr:uid="{00000000-0005-0000-0000-0000460F0000}"/>
    <cellStyle name="Comma 67 2 2 2 3 2" xfId="4098" xr:uid="{00000000-0005-0000-0000-0000470F0000}"/>
    <cellStyle name="Comma 67 2 2 2 4" xfId="4099" xr:uid="{00000000-0005-0000-0000-0000480F0000}"/>
    <cellStyle name="Comma 67 2 2 3" xfId="4100" xr:uid="{00000000-0005-0000-0000-0000490F0000}"/>
    <cellStyle name="Comma 67 2 2 3 2" xfId="4101" xr:uid="{00000000-0005-0000-0000-00004A0F0000}"/>
    <cellStyle name="Comma 67 2 2 3 2 2" xfId="4102" xr:uid="{00000000-0005-0000-0000-00004B0F0000}"/>
    <cellStyle name="Comma 67 2 2 3 3" xfId="4103" xr:uid="{00000000-0005-0000-0000-00004C0F0000}"/>
    <cellStyle name="Comma 67 2 2 4" xfId="4104" xr:uid="{00000000-0005-0000-0000-00004D0F0000}"/>
    <cellStyle name="Comma 67 2 2 4 2" xfId="4105" xr:uid="{00000000-0005-0000-0000-00004E0F0000}"/>
    <cellStyle name="Comma 67 2 2 5" xfId="4106" xr:uid="{00000000-0005-0000-0000-00004F0F0000}"/>
    <cellStyle name="Comma 67 2 2 5 2" xfId="4107" xr:uid="{00000000-0005-0000-0000-0000500F0000}"/>
    <cellStyle name="Comma 67 2 2 6" xfId="4108" xr:uid="{00000000-0005-0000-0000-0000510F0000}"/>
    <cellStyle name="Comma 67 2 3" xfId="4109" xr:uid="{00000000-0005-0000-0000-0000520F0000}"/>
    <cellStyle name="Comma 67 2 3 2" xfId="4110" xr:uid="{00000000-0005-0000-0000-0000530F0000}"/>
    <cellStyle name="Comma 67 2 3 2 2" xfId="4111" xr:uid="{00000000-0005-0000-0000-0000540F0000}"/>
    <cellStyle name="Comma 67 2 3 3" xfId="4112" xr:uid="{00000000-0005-0000-0000-0000550F0000}"/>
    <cellStyle name="Comma 67 2 3 3 2" xfId="4113" xr:uid="{00000000-0005-0000-0000-0000560F0000}"/>
    <cellStyle name="Comma 67 2 3 4" xfId="4114" xr:uid="{00000000-0005-0000-0000-0000570F0000}"/>
    <cellStyle name="Comma 67 2 4" xfId="4115" xr:uid="{00000000-0005-0000-0000-0000580F0000}"/>
    <cellStyle name="Comma 67 2 4 2" xfId="4116" xr:uid="{00000000-0005-0000-0000-0000590F0000}"/>
    <cellStyle name="Comma 67 2 4 2 2" xfId="4117" xr:uid="{00000000-0005-0000-0000-00005A0F0000}"/>
    <cellStyle name="Comma 67 2 4 3" xfId="4118" xr:uid="{00000000-0005-0000-0000-00005B0F0000}"/>
    <cellStyle name="Comma 67 2 5" xfId="4119" xr:uid="{00000000-0005-0000-0000-00005C0F0000}"/>
    <cellStyle name="Comma 67 2 5 2" xfId="4120" xr:uid="{00000000-0005-0000-0000-00005D0F0000}"/>
    <cellStyle name="Comma 67 2 6" xfId="4121" xr:uid="{00000000-0005-0000-0000-00005E0F0000}"/>
    <cellStyle name="Comma 67 2 6 2" xfId="4122" xr:uid="{00000000-0005-0000-0000-00005F0F0000}"/>
    <cellStyle name="Comma 67 2 7" xfId="4123" xr:uid="{00000000-0005-0000-0000-0000600F0000}"/>
    <cellStyle name="Comma 67 3" xfId="4124" xr:uid="{00000000-0005-0000-0000-0000610F0000}"/>
    <cellStyle name="Comma 67 3 2" xfId="4125" xr:uid="{00000000-0005-0000-0000-0000620F0000}"/>
    <cellStyle name="Comma 67 3 2 2" xfId="4126" xr:uid="{00000000-0005-0000-0000-0000630F0000}"/>
    <cellStyle name="Comma 67 3 2 2 2" xfId="4127" xr:uid="{00000000-0005-0000-0000-0000640F0000}"/>
    <cellStyle name="Comma 67 3 2 3" xfId="4128" xr:uid="{00000000-0005-0000-0000-0000650F0000}"/>
    <cellStyle name="Comma 67 3 2 3 2" xfId="4129" xr:uid="{00000000-0005-0000-0000-0000660F0000}"/>
    <cellStyle name="Comma 67 3 2 4" xfId="4130" xr:uid="{00000000-0005-0000-0000-0000670F0000}"/>
    <cellStyle name="Comma 67 3 3" xfId="4131" xr:uid="{00000000-0005-0000-0000-0000680F0000}"/>
    <cellStyle name="Comma 67 3 3 2" xfId="4132" xr:uid="{00000000-0005-0000-0000-0000690F0000}"/>
    <cellStyle name="Comma 67 3 3 2 2" xfId="4133" xr:uid="{00000000-0005-0000-0000-00006A0F0000}"/>
    <cellStyle name="Comma 67 3 3 3" xfId="4134" xr:uid="{00000000-0005-0000-0000-00006B0F0000}"/>
    <cellStyle name="Comma 67 3 4" xfId="4135" xr:uid="{00000000-0005-0000-0000-00006C0F0000}"/>
    <cellStyle name="Comma 67 3 4 2" xfId="4136" xr:uid="{00000000-0005-0000-0000-00006D0F0000}"/>
    <cellStyle name="Comma 67 3 5" xfId="4137" xr:uid="{00000000-0005-0000-0000-00006E0F0000}"/>
    <cellStyle name="Comma 67 3 5 2" xfId="4138" xr:uid="{00000000-0005-0000-0000-00006F0F0000}"/>
    <cellStyle name="Comma 67 3 6" xfId="4139" xr:uid="{00000000-0005-0000-0000-0000700F0000}"/>
    <cellStyle name="Comma 67 4" xfId="4140" xr:uid="{00000000-0005-0000-0000-0000710F0000}"/>
    <cellStyle name="Comma 67 4 2" xfId="4141" xr:uid="{00000000-0005-0000-0000-0000720F0000}"/>
    <cellStyle name="Comma 67 4 2 2" xfId="4142" xr:uid="{00000000-0005-0000-0000-0000730F0000}"/>
    <cellStyle name="Comma 67 4 3" xfId="4143" xr:uid="{00000000-0005-0000-0000-0000740F0000}"/>
    <cellStyle name="Comma 67 4 3 2" xfId="4144" xr:uid="{00000000-0005-0000-0000-0000750F0000}"/>
    <cellStyle name="Comma 67 4 4" xfId="4145" xr:uid="{00000000-0005-0000-0000-0000760F0000}"/>
    <cellStyle name="Comma 67 5" xfId="4146" xr:uid="{00000000-0005-0000-0000-0000770F0000}"/>
    <cellStyle name="Comma 67 5 2" xfId="4147" xr:uid="{00000000-0005-0000-0000-0000780F0000}"/>
    <cellStyle name="Comma 67 5 2 2" xfId="4148" xr:uid="{00000000-0005-0000-0000-0000790F0000}"/>
    <cellStyle name="Comma 67 5 3" xfId="4149" xr:uid="{00000000-0005-0000-0000-00007A0F0000}"/>
    <cellStyle name="Comma 67 6" xfId="4150" xr:uid="{00000000-0005-0000-0000-00007B0F0000}"/>
    <cellStyle name="Comma 67 6 2" xfId="4151" xr:uid="{00000000-0005-0000-0000-00007C0F0000}"/>
    <cellStyle name="Comma 67 7" xfId="4152" xr:uid="{00000000-0005-0000-0000-00007D0F0000}"/>
    <cellStyle name="Comma 67 7 2" xfId="4153" xr:uid="{00000000-0005-0000-0000-00007E0F0000}"/>
    <cellStyle name="Comma 67 8" xfId="4154" xr:uid="{00000000-0005-0000-0000-00007F0F0000}"/>
    <cellStyle name="Comma 68" xfId="4155" xr:uid="{00000000-0005-0000-0000-0000800F0000}"/>
    <cellStyle name="Comma 68 2" xfId="4156" xr:uid="{00000000-0005-0000-0000-0000810F0000}"/>
    <cellStyle name="Comma 68 2 2" xfId="4157" xr:uid="{00000000-0005-0000-0000-0000820F0000}"/>
    <cellStyle name="Comma 68 2 2 2" xfId="4158" xr:uid="{00000000-0005-0000-0000-0000830F0000}"/>
    <cellStyle name="Comma 68 2 2 2 2" xfId="4159" xr:uid="{00000000-0005-0000-0000-0000840F0000}"/>
    <cellStyle name="Comma 68 2 2 2 2 2" xfId="4160" xr:uid="{00000000-0005-0000-0000-0000850F0000}"/>
    <cellStyle name="Comma 68 2 2 2 3" xfId="4161" xr:uid="{00000000-0005-0000-0000-0000860F0000}"/>
    <cellStyle name="Comma 68 2 2 2 3 2" xfId="4162" xr:uid="{00000000-0005-0000-0000-0000870F0000}"/>
    <cellStyle name="Comma 68 2 2 2 4" xfId="4163" xr:uid="{00000000-0005-0000-0000-0000880F0000}"/>
    <cellStyle name="Comma 68 2 2 3" xfId="4164" xr:uid="{00000000-0005-0000-0000-0000890F0000}"/>
    <cellStyle name="Comma 68 2 2 3 2" xfId="4165" xr:uid="{00000000-0005-0000-0000-00008A0F0000}"/>
    <cellStyle name="Comma 68 2 2 3 2 2" xfId="4166" xr:uid="{00000000-0005-0000-0000-00008B0F0000}"/>
    <cellStyle name="Comma 68 2 2 3 3" xfId="4167" xr:uid="{00000000-0005-0000-0000-00008C0F0000}"/>
    <cellStyle name="Comma 68 2 2 4" xfId="4168" xr:uid="{00000000-0005-0000-0000-00008D0F0000}"/>
    <cellStyle name="Comma 68 2 2 4 2" xfId="4169" xr:uid="{00000000-0005-0000-0000-00008E0F0000}"/>
    <cellStyle name="Comma 68 2 2 5" xfId="4170" xr:uid="{00000000-0005-0000-0000-00008F0F0000}"/>
    <cellStyle name="Comma 68 2 2 5 2" xfId="4171" xr:uid="{00000000-0005-0000-0000-0000900F0000}"/>
    <cellStyle name="Comma 68 2 2 6" xfId="4172" xr:uid="{00000000-0005-0000-0000-0000910F0000}"/>
    <cellStyle name="Comma 68 2 3" xfId="4173" xr:uid="{00000000-0005-0000-0000-0000920F0000}"/>
    <cellStyle name="Comma 68 2 3 2" xfId="4174" xr:uid="{00000000-0005-0000-0000-0000930F0000}"/>
    <cellStyle name="Comma 68 2 3 2 2" xfId="4175" xr:uid="{00000000-0005-0000-0000-0000940F0000}"/>
    <cellStyle name="Comma 68 2 3 3" xfId="4176" xr:uid="{00000000-0005-0000-0000-0000950F0000}"/>
    <cellStyle name="Comma 68 2 3 3 2" xfId="4177" xr:uid="{00000000-0005-0000-0000-0000960F0000}"/>
    <cellStyle name="Comma 68 2 3 4" xfId="4178" xr:uid="{00000000-0005-0000-0000-0000970F0000}"/>
    <cellStyle name="Comma 68 2 4" xfId="4179" xr:uid="{00000000-0005-0000-0000-0000980F0000}"/>
    <cellStyle name="Comma 68 2 4 2" xfId="4180" xr:uid="{00000000-0005-0000-0000-0000990F0000}"/>
    <cellStyle name="Comma 68 2 4 2 2" xfId="4181" xr:uid="{00000000-0005-0000-0000-00009A0F0000}"/>
    <cellStyle name="Comma 68 2 4 3" xfId="4182" xr:uid="{00000000-0005-0000-0000-00009B0F0000}"/>
    <cellStyle name="Comma 68 2 5" xfId="4183" xr:uid="{00000000-0005-0000-0000-00009C0F0000}"/>
    <cellStyle name="Comma 68 2 5 2" xfId="4184" xr:uid="{00000000-0005-0000-0000-00009D0F0000}"/>
    <cellStyle name="Comma 68 2 6" xfId="4185" xr:uid="{00000000-0005-0000-0000-00009E0F0000}"/>
    <cellStyle name="Comma 68 2 6 2" xfId="4186" xr:uid="{00000000-0005-0000-0000-00009F0F0000}"/>
    <cellStyle name="Comma 68 2 7" xfId="4187" xr:uid="{00000000-0005-0000-0000-0000A00F0000}"/>
    <cellStyle name="Comma 68 3" xfId="4188" xr:uid="{00000000-0005-0000-0000-0000A10F0000}"/>
    <cellStyle name="Comma 68 3 2" xfId="4189" xr:uid="{00000000-0005-0000-0000-0000A20F0000}"/>
    <cellStyle name="Comma 68 3 2 2" xfId="4190" xr:uid="{00000000-0005-0000-0000-0000A30F0000}"/>
    <cellStyle name="Comma 68 3 2 2 2" xfId="4191" xr:uid="{00000000-0005-0000-0000-0000A40F0000}"/>
    <cellStyle name="Comma 68 3 2 3" xfId="4192" xr:uid="{00000000-0005-0000-0000-0000A50F0000}"/>
    <cellStyle name="Comma 68 3 2 3 2" xfId="4193" xr:uid="{00000000-0005-0000-0000-0000A60F0000}"/>
    <cellStyle name="Comma 68 3 2 4" xfId="4194" xr:uid="{00000000-0005-0000-0000-0000A70F0000}"/>
    <cellStyle name="Comma 68 3 3" xfId="4195" xr:uid="{00000000-0005-0000-0000-0000A80F0000}"/>
    <cellStyle name="Comma 68 3 3 2" xfId="4196" xr:uid="{00000000-0005-0000-0000-0000A90F0000}"/>
    <cellStyle name="Comma 68 3 3 2 2" xfId="4197" xr:uid="{00000000-0005-0000-0000-0000AA0F0000}"/>
    <cellStyle name="Comma 68 3 3 3" xfId="4198" xr:uid="{00000000-0005-0000-0000-0000AB0F0000}"/>
    <cellStyle name="Comma 68 3 4" xfId="4199" xr:uid="{00000000-0005-0000-0000-0000AC0F0000}"/>
    <cellStyle name="Comma 68 3 4 2" xfId="4200" xr:uid="{00000000-0005-0000-0000-0000AD0F0000}"/>
    <cellStyle name="Comma 68 3 5" xfId="4201" xr:uid="{00000000-0005-0000-0000-0000AE0F0000}"/>
    <cellStyle name="Comma 68 3 5 2" xfId="4202" xr:uid="{00000000-0005-0000-0000-0000AF0F0000}"/>
    <cellStyle name="Comma 68 3 6" xfId="4203" xr:uid="{00000000-0005-0000-0000-0000B00F0000}"/>
    <cellStyle name="Comma 68 4" xfId="4204" xr:uid="{00000000-0005-0000-0000-0000B10F0000}"/>
    <cellStyle name="Comma 68 4 2" xfId="4205" xr:uid="{00000000-0005-0000-0000-0000B20F0000}"/>
    <cellStyle name="Comma 68 4 2 2" xfId="4206" xr:uid="{00000000-0005-0000-0000-0000B30F0000}"/>
    <cellStyle name="Comma 68 4 3" xfId="4207" xr:uid="{00000000-0005-0000-0000-0000B40F0000}"/>
    <cellStyle name="Comma 68 4 3 2" xfId="4208" xr:uid="{00000000-0005-0000-0000-0000B50F0000}"/>
    <cellStyle name="Comma 68 4 4" xfId="4209" xr:uid="{00000000-0005-0000-0000-0000B60F0000}"/>
    <cellStyle name="Comma 68 5" xfId="4210" xr:uid="{00000000-0005-0000-0000-0000B70F0000}"/>
    <cellStyle name="Comma 68 5 2" xfId="4211" xr:uid="{00000000-0005-0000-0000-0000B80F0000}"/>
    <cellStyle name="Comma 68 5 2 2" xfId="4212" xr:uid="{00000000-0005-0000-0000-0000B90F0000}"/>
    <cellStyle name="Comma 68 5 3" xfId="4213" xr:uid="{00000000-0005-0000-0000-0000BA0F0000}"/>
    <cellStyle name="Comma 68 6" xfId="4214" xr:uid="{00000000-0005-0000-0000-0000BB0F0000}"/>
    <cellStyle name="Comma 68 6 2" xfId="4215" xr:uid="{00000000-0005-0000-0000-0000BC0F0000}"/>
    <cellStyle name="Comma 68 7" xfId="4216" xr:uid="{00000000-0005-0000-0000-0000BD0F0000}"/>
    <cellStyle name="Comma 68 7 2" xfId="4217" xr:uid="{00000000-0005-0000-0000-0000BE0F0000}"/>
    <cellStyle name="Comma 68 8" xfId="4218" xr:uid="{00000000-0005-0000-0000-0000BF0F0000}"/>
    <cellStyle name="Comma 69" xfId="4219" xr:uid="{00000000-0005-0000-0000-0000C00F0000}"/>
    <cellStyle name="Comma 69 2" xfId="4220" xr:uid="{00000000-0005-0000-0000-0000C10F0000}"/>
    <cellStyle name="Comma 69 2 2" xfId="4221" xr:uid="{00000000-0005-0000-0000-0000C20F0000}"/>
    <cellStyle name="Comma 69 2 2 2" xfId="4222" xr:uid="{00000000-0005-0000-0000-0000C30F0000}"/>
    <cellStyle name="Comma 69 2 2 2 2" xfId="4223" xr:uid="{00000000-0005-0000-0000-0000C40F0000}"/>
    <cellStyle name="Comma 69 2 2 2 2 2" xfId="4224" xr:uid="{00000000-0005-0000-0000-0000C50F0000}"/>
    <cellStyle name="Comma 69 2 2 2 3" xfId="4225" xr:uid="{00000000-0005-0000-0000-0000C60F0000}"/>
    <cellStyle name="Comma 69 2 2 2 3 2" xfId="4226" xr:uid="{00000000-0005-0000-0000-0000C70F0000}"/>
    <cellStyle name="Comma 69 2 2 2 4" xfId="4227" xr:uid="{00000000-0005-0000-0000-0000C80F0000}"/>
    <cellStyle name="Comma 69 2 2 3" xfId="4228" xr:uid="{00000000-0005-0000-0000-0000C90F0000}"/>
    <cellStyle name="Comma 69 2 2 3 2" xfId="4229" xr:uid="{00000000-0005-0000-0000-0000CA0F0000}"/>
    <cellStyle name="Comma 69 2 2 3 2 2" xfId="4230" xr:uid="{00000000-0005-0000-0000-0000CB0F0000}"/>
    <cellStyle name="Comma 69 2 2 3 3" xfId="4231" xr:uid="{00000000-0005-0000-0000-0000CC0F0000}"/>
    <cellStyle name="Comma 69 2 2 4" xfId="4232" xr:uid="{00000000-0005-0000-0000-0000CD0F0000}"/>
    <cellStyle name="Comma 69 2 2 4 2" xfId="4233" xr:uid="{00000000-0005-0000-0000-0000CE0F0000}"/>
    <cellStyle name="Comma 69 2 2 5" xfId="4234" xr:uid="{00000000-0005-0000-0000-0000CF0F0000}"/>
    <cellStyle name="Comma 69 2 2 5 2" xfId="4235" xr:uid="{00000000-0005-0000-0000-0000D00F0000}"/>
    <cellStyle name="Comma 69 2 2 6" xfId="4236" xr:uid="{00000000-0005-0000-0000-0000D10F0000}"/>
    <cellStyle name="Comma 69 2 3" xfId="4237" xr:uid="{00000000-0005-0000-0000-0000D20F0000}"/>
    <cellStyle name="Comma 69 2 3 2" xfId="4238" xr:uid="{00000000-0005-0000-0000-0000D30F0000}"/>
    <cellStyle name="Comma 69 2 3 2 2" xfId="4239" xr:uid="{00000000-0005-0000-0000-0000D40F0000}"/>
    <cellStyle name="Comma 69 2 3 3" xfId="4240" xr:uid="{00000000-0005-0000-0000-0000D50F0000}"/>
    <cellStyle name="Comma 69 2 3 3 2" xfId="4241" xr:uid="{00000000-0005-0000-0000-0000D60F0000}"/>
    <cellStyle name="Comma 69 2 3 4" xfId="4242" xr:uid="{00000000-0005-0000-0000-0000D70F0000}"/>
    <cellStyle name="Comma 69 2 4" xfId="4243" xr:uid="{00000000-0005-0000-0000-0000D80F0000}"/>
    <cellStyle name="Comma 69 2 4 2" xfId="4244" xr:uid="{00000000-0005-0000-0000-0000D90F0000}"/>
    <cellStyle name="Comma 69 2 4 2 2" xfId="4245" xr:uid="{00000000-0005-0000-0000-0000DA0F0000}"/>
    <cellStyle name="Comma 69 2 4 3" xfId="4246" xr:uid="{00000000-0005-0000-0000-0000DB0F0000}"/>
    <cellStyle name="Comma 69 2 5" xfId="4247" xr:uid="{00000000-0005-0000-0000-0000DC0F0000}"/>
    <cellStyle name="Comma 69 2 5 2" xfId="4248" xr:uid="{00000000-0005-0000-0000-0000DD0F0000}"/>
    <cellStyle name="Comma 69 2 6" xfId="4249" xr:uid="{00000000-0005-0000-0000-0000DE0F0000}"/>
    <cellStyle name="Comma 69 2 6 2" xfId="4250" xr:uid="{00000000-0005-0000-0000-0000DF0F0000}"/>
    <cellStyle name="Comma 69 2 7" xfId="4251" xr:uid="{00000000-0005-0000-0000-0000E00F0000}"/>
    <cellStyle name="Comma 69 3" xfId="4252" xr:uid="{00000000-0005-0000-0000-0000E10F0000}"/>
    <cellStyle name="Comma 69 3 2" xfId="4253" xr:uid="{00000000-0005-0000-0000-0000E20F0000}"/>
    <cellStyle name="Comma 69 3 2 2" xfId="4254" xr:uid="{00000000-0005-0000-0000-0000E30F0000}"/>
    <cellStyle name="Comma 69 3 2 2 2" xfId="4255" xr:uid="{00000000-0005-0000-0000-0000E40F0000}"/>
    <cellStyle name="Comma 69 3 2 3" xfId="4256" xr:uid="{00000000-0005-0000-0000-0000E50F0000}"/>
    <cellStyle name="Comma 69 3 2 3 2" xfId="4257" xr:uid="{00000000-0005-0000-0000-0000E60F0000}"/>
    <cellStyle name="Comma 69 3 2 4" xfId="4258" xr:uid="{00000000-0005-0000-0000-0000E70F0000}"/>
    <cellStyle name="Comma 69 3 3" xfId="4259" xr:uid="{00000000-0005-0000-0000-0000E80F0000}"/>
    <cellStyle name="Comma 69 3 3 2" xfId="4260" xr:uid="{00000000-0005-0000-0000-0000E90F0000}"/>
    <cellStyle name="Comma 69 3 3 2 2" xfId="4261" xr:uid="{00000000-0005-0000-0000-0000EA0F0000}"/>
    <cellStyle name="Comma 69 3 3 3" xfId="4262" xr:uid="{00000000-0005-0000-0000-0000EB0F0000}"/>
    <cellStyle name="Comma 69 3 4" xfId="4263" xr:uid="{00000000-0005-0000-0000-0000EC0F0000}"/>
    <cellStyle name="Comma 69 3 4 2" xfId="4264" xr:uid="{00000000-0005-0000-0000-0000ED0F0000}"/>
    <cellStyle name="Comma 69 3 5" xfId="4265" xr:uid="{00000000-0005-0000-0000-0000EE0F0000}"/>
    <cellStyle name="Comma 69 3 5 2" xfId="4266" xr:uid="{00000000-0005-0000-0000-0000EF0F0000}"/>
    <cellStyle name="Comma 69 3 6" xfId="4267" xr:uid="{00000000-0005-0000-0000-0000F00F0000}"/>
    <cellStyle name="Comma 69 4" xfId="4268" xr:uid="{00000000-0005-0000-0000-0000F10F0000}"/>
    <cellStyle name="Comma 69 4 2" xfId="4269" xr:uid="{00000000-0005-0000-0000-0000F20F0000}"/>
    <cellStyle name="Comma 69 4 2 2" xfId="4270" xr:uid="{00000000-0005-0000-0000-0000F30F0000}"/>
    <cellStyle name="Comma 69 4 3" xfId="4271" xr:uid="{00000000-0005-0000-0000-0000F40F0000}"/>
    <cellStyle name="Comma 69 4 3 2" xfId="4272" xr:uid="{00000000-0005-0000-0000-0000F50F0000}"/>
    <cellStyle name="Comma 69 4 4" xfId="4273" xr:uid="{00000000-0005-0000-0000-0000F60F0000}"/>
    <cellStyle name="Comma 69 5" xfId="4274" xr:uid="{00000000-0005-0000-0000-0000F70F0000}"/>
    <cellStyle name="Comma 69 5 2" xfId="4275" xr:uid="{00000000-0005-0000-0000-0000F80F0000}"/>
    <cellStyle name="Comma 69 5 2 2" xfId="4276" xr:uid="{00000000-0005-0000-0000-0000F90F0000}"/>
    <cellStyle name="Comma 69 5 3" xfId="4277" xr:uid="{00000000-0005-0000-0000-0000FA0F0000}"/>
    <cellStyle name="Comma 69 6" xfId="4278" xr:uid="{00000000-0005-0000-0000-0000FB0F0000}"/>
    <cellStyle name="Comma 69 6 2" xfId="4279" xr:uid="{00000000-0005-0000-0000-0000FC0F0000}"/>
    <cellStyle name="Comma 69 7" xfId="4280" xr:uid="{00000000-0005-0000-0000-0000FD0F0000}"/>
    <cellStyle name="Comma 69 7 2" xfId="4281" xr:uid="{00000000-0005-0000-0000-0000FE0F0000}"/>
    <cellStyle name="Comma 69 8" xfId="4282" xr:uid="{00000000-0005-0000-0000-0000FF0F0000}"/>
    <cellStyle name="Comma 7" xfId="79" xr:uid="{00000000-0005-0000-0000-000000100000}"/>
    <cellStyle name="Comma 7 2" xfId="4283" xr:uid="{00000000-0005-0000-0000-000001100000}"/>
    <cellStyle name="Comma 7 2 2" xfId="4284" xr:uid="{00000000-0005-0000-0000-000002100000}"/>
    <cellStyle name="Comma 7 2 2 2" xfId="4285" xr:uid="{00000000-0005-0000-0000-000003100000}"/>
    <cellStyle name="Comma 7 3" xfId="4286" xr:uid="{00000000-0005-0000-0000-000004100000}"/>
    <cellStyle name="Comma 7 3 2" xfId="4287" xr:uid="{00000000-0005-0000-0000-000005100000}"/>
    <cellStyle name="Comma 7 4" xfId="4288" xr:uid="{00000000-0005-0000-0000-000006100000}"/>
    <cellStyle name="Comma 7 4 2" xfId="4289" xr:uid="{00000000-0005-0000-0000-000007100000}"/>
    <cellStyle name="Comma 7 5" xfId="4290" xr:uid="{00000000-0005-0000-0000-000008100000}"/>
    <cellStyle name="Comma 70" xfId="4291" xr:uid="{00000000-0005-0000-0000-000009100000}"/>
    <cellStyle name="Comma 70 2" xfId="4292" xr:uid="{00000000-0005-0000-0000-00000A100000}"/>
    <cellStyle name="Comma 70 2 2" xfId="4293" xr:uid="{00000000-0005-0000-0000-00000B100000}"/>
    <cellStyle name="Comma 70 2 2 2" xfId="4294" xr:uid="{00000000-0005-0000-0000-00000C100000}"/>
    <cellStyle name="Comma 70 2 2 2 2" xfId="4295" xr:uid="{00000000-0005-0000-0000-00000D100000}"/>
    <cellStyle name="Comma 70 2 2 2 2 2" xfId="4296" xr:uid="{00000000-0005-0000-0000-00000E100000}"/>
    <cellStyle name="Comma 70 2 2 2 3" xfId="4297" xr:uid="{00000000-0005-0000-0000-00000F100000}"/>
    <cellStyle name="Comma 70 2 2 2 3 2" xfId="4298" xr:uid="{00000000-0005-0000-0000-000010100000}"/>
    <cellStyle name="Comma 70 2 2 2 4" xfId="4299" xr:uid="{00000000-0005-0000-0000-000011100000}"/>
    <cellStyle name="Comma 70 2 2 3" xfId="4300" xr:uid="{00000000-0005-0000-0000-000012100000}"/>
    <cellStyle name="Comma 70 2 2 3 2" xfId="4301" xr:uid="{00000000-0005-0000-0000-000013100000}"/>
    <cellStyle name="Comma 70 2 2 3 2 2" xfId="4302" xr:uid="{00000000-0005-0000-0000-000014100000}"/>
    <cellStyle name="Comma 70 2 2 3 3" xfId="4303" xr:uid="{00000000-0005-0000-0000-000015100000}"/>
    <cellStyle name="Comma 70 2 2 4" xfId="4304" xr:uid="{00000000-0005-0000-0000-000016100000}"/>
    <cellStyle name="Comma 70 2 2 4 2" xfId="4305" xr:uid="{00000000-0005-0000-0000-000017100000}"/>
    <cellStyle name="Comma 70 2 2 5" xfId="4306" xr:uid="{00000000-0005-0000-0000-000018100000}"/>
    <cellStyle name="Comma 70 2 2 5 2" xfId="4307" xr:uid="{00000000-0005-0000-0000-000019100000}"/>
    <cellStyle name="Comma 70 2 2 6" xfId="4308" xr:uid="{00000000-0005-0000-0000-00001A100000}"/>
    <cellStyle name="Comma 70 2 3" xfId="4309" xr:uid="{00000000-0005-0000-0000-00001B100000}"/>
    <cellStyle name="Comma 70 2 3 2" xfId="4310" xr:uid="{00000000-0005-0000-0000-00001C100000}"/>
    <cellStyle name="Comma 70 2 3 2 2" xfId="4311" xr:uid="{00000000-0005-0000-0000-00001D100000}"/>
    <cellStyle name="Comma 70 2 3 3" xfId="4312" xr:uid="{00000000-0005-0000-0000-00001E100000}"/>
    <cellStyle name="Comma 70 2 3 3 2" xfId="4313" xr:uid="{00000000-0005-0000-0000-00001F100000}"/>
    <cellStyle name="Comma 70 2 3 4" xfId="4314" xr:uid="{00000000-0005-0000-0000-000020100000}"/>
    <cellStyle name="Comma 70 2 4" xfId="4315" xr:uid="{00000000-0005-0000-0000-000021100000}"/>
    <cellStyle name="Comma 70 2 4 2" xfId="4316" xr:uid="{00000000-0005-0000-0000-000022100000}"/>
    <cellStyle name="Comma 70 2 4 2 2" xfId="4317" xr:uid="{00000000-0005-0000-0000-000023100000}"/>
    <cellStyle name="Comma 70 2 4 3" xfId="4318" xr:uid="{00000000-0005-0000-0000-000024100000}"/>
    <cellStyle name="Comma 70 2 5" xfId="4319" xr:uid="{00000000-0005-0000-0000-000025100000}"/>
    <cellStyle name="Comma 70 2 5 2" xfId="4320" xr:uid="{00000000-0005-0000-0000-000026100000}"/>
    <cellStyle name="Comma 70 2 6" xfId="4321" xr:uid="{00000000-0005-0000-0000-000027100000}"/>
    <cellStyle name="Comma 70 2 6 2" xfId="4322" xr:uid="{00000000-0005-0000-0000-000028100000}"/>
    <cellStyle name="Comma 70 2 7" xfId="4323" xr:uid="{00000000-0005-0000-0000-000029100000}"/>
    <cellStyle name="Comma 70 3" xfId="4324" xr:uid="{00000000-0005-0000-0000-00002A100000}"/>
    <cellStyle name="Comma 70 3 2" xfId="4325" xr:uid="{00000000-0005-0000-0000-00002B100000}"/>
    <cellStyle name="Comma 70 3 2 2" xfId="4326" xr:uid="{00000000-0005-0000-0000-00002C100000}"/>
    <cellStyle name="Comma 70 3 2 2 2" xfId="4327" xr:uid="{00000000-0005-0000-0000-00002D100000}"/>
    <cellStyle name="Comma 70 3 2 3" xfId="4328" xr:uid="{00000000-0005-0000-0000-00002E100000}"/>
    <cellStyle name="Comma 70 3 2 3 2" xfId="4329" xr:uid="{00000000-0005-0000-0000-00002F100000}"/>
    <cellStyle name="Comma 70 3 2 4" xfId="4330" xr:uid="{00000000-0005-0000-0000-000030100000}"/>
    <cellStyle name="Comma 70 3 3" xfId="4331" xr:uid="{00000000-0005-0000-0000-000031100000}"/>
    <cellStyle name="Comma 70 3 3 2" xfId="4332" xr:uid="{00000000-0005-0000-0000-000032100000}"/>
    <cellStyle name="Comma 70 3 3 2 2" xfId="4333" xr:uid="{00000000-0005-0000-0000-000033100000}"/>
    <cellStyle name="Comma 70 3 3 3" xfId="4334" xr:uid="{00000000-0005-0000-0000-000034100000}"/>
    <cellStyle name="Comma 70 3 4" xfId="4335" xr:uid="{00000000-0005-0000-0000-000035100000}"/>
    <cellStyle name="Comma 70 3 4 2" xfId="4336" xr:uid="{00000000-0005-0000-0000-000036100000}"/>
    <cellStyle name="Comma 70 3 5" xfId="4337" xr:uid="{00000000-0005-0000-0000-000037100000}"/>
    <cellStyle name="Comma 70 3 5 2" xfId="4338" xr:uid="{00000000-0005-0000-0000-000038100000}"/>
    <cellStyle name="Comma 70 3 6" xfId="4339" xr:uid="{00000000-0005-0000-0000-000039100000}"/>
    <cellStyle name="Comma 70 4" xfId="4340" xr:uid="{00000000-0005-0000-0000-00003A100000}"/>
    <cellStyle name="Comma 70 4 2" xfId="4341" xr:uid="{00000000-0005-0000-0000-00003B100000}"/>
    <cellStyle name="Comma 70 4 2 2" xfId="4342" xr:uid="{00000000-0005-0000-0000-00003C100000}"/>
    <cellStyle name="Comma 70 4 3" xfId="4343" xr:uid="{00000000-0005-0000-0000-00003D100000}"/>
    <cellStyle name="Comma 70 4 3 2" xfId="4344" xr:uid="{00000000-0005-0000-0000-00003E100000}"/>
    <cellStyle name="Comma 70 4 4" xfId="4345" xr:uid="{00000000-0005-0000-0000-00003F100000}"/>
    <cellStyle name="Comma 70 5" xfId="4346" xr:uid="{00000000-0005-0000-0000-000040100000}"/>
    <cellStyle name="Comma 70 5 2" xfId="4347" xr:uid="{00000000-0005-0000-0000-000041100000}"/>
    <cellStyle name="Comma 70 5 2 2" xfId="4348" xr:uid="{00000000-0005-0000-0000-000042100000}"/>
    <cellStyle name="Comma 70 5 3" xfId="4349" xr:uid="{00000000-0005-0000-0000-000043100000}"/>
    <cellStyle name="Comma 70 6" xfId="4350" xr:uid="{00000000-0005-0000-0000-000044100000}"/>
    <cellStyle name="Comma 70 6 2" xfId="4351" xr:uid="{00000000-0005-0000-0000-000045100000}"/>
    <cellStyle name="Comma 70 7" xfId="4352" xr:uid="{00000000-0005-0000-0000-000046100000}"/>
    <cellStyle name="Comma 70 7 2" xfId="4353" xr:uid="{00000000-0005-0000-0000-000047100000}"/>
    <cellStyle name="Comma 70 8" xfId="4354" xr:uid="{00000000-0005-0000-0000-000048100000}"/>
    <cellStyle name="Comma 71" xfId="4355" xr:uid="{00000000-0005-0000-0000-000049100000}"/>
    <cellStyle name="Comma 71 2" xfId="4356" xr:uid="{00000000-0005-0000-0000-00004A100000}"/>
    <cellStyle name="Comma 71 2 2" xfId="4357" xr:uid="{00000000-0005-0000-0000-00004B100000}"/>
    <cellStyle name="Comma 71 2 2 2" xfId="4358" xr:uid="{00000000-0005-0000-0000-00004C100000}"/>
    <cellStyle name="Comma 71 2 2 2 2" xfId="4359" xr:uid="{00000000-0005-0000-0000-00004D100000}"/>
    <cellStyle name="Comma 71 2 2 2 2 2" xfId="4360" xr:uid="{00000000-0005-0000-0000-00004E100000}"/>
    <cellStyle name="Comma 71 2 2 2 3" xfId="4361" xr:uid="{00000000-0005-0000-0000-00004F100000}"/>
    <cellStyle name="Comma 71 2 2 2 3 2" xfId="4362" xr:uid="{00000000-0005-0000-0000-000050100000}"/>
    <cellStyle name="Comma 71 2 2 2 4" xfId="4363" xr:uid="{00000000-0005-0000-0000-000051100000}"/>
    <cellStyle name="Comma 71 2 2 3" xfId="4364" xr:uid="{00000000-0005-0000-0000-000052100000}"/>
    <cellStyle name="Comma 71 2 2 3 2" xfId="4365" xr:uid="{00000000-0005-0000-0000-000053100000}"/>
    <cellStyle name="Comma 71 2 2 3 2 2" xfId="4366" xr:uid="{00000000-0005-0000-0000-000054100000}"/>
    <cellStyle name="Comma 71 2 2 3 3" xfId="4367" xr:uid="{00000000-0005-0000-0000-000055100000}"/>
    <cellStyle name="Comma 71 2 2 4" xfId="4368" xr:uid="{00000000-0005-0000-0000-000056100000}"/>
    <cellStyle name="Comma 71 2 2 4 2" xfId="4369" xr:uid="{00000000-0005-0000-0000-000057100000}"/>
    <cellStyle name="Comma 71 2 2 5" xfId="4370" xr:uid="{00000000-0005-0000-0000-000058100000}"/>
    <cellStyle name="Comma 71 2 2 5 2" xfId="4371" xr:uid="{00000000-0005-0000-0000-000059100000}"/>
    <cellStyle name="Comma 71 2 2 6" xfId="4372" xr:uid="{00000000-0005-0000-0000-00005A100000}"/>
    <cellStyle name="Comma 71 2 3" xfId="4373" xr:uid="{00000000-0005-0000-0000-00005B100000}"/>
    <cellStyle name="Comma 71 2 3 2" xfId="4374" xr:uid="{00000000-0005-0000-0000-00005C100000}"/>
    <cellStyle name="Comma 71 2 3 2 2" xfId="4375" xr:uid="{00000000-0005-0000-0000-00005D100000}"/>
    <cellStyle name="Comma 71 2 3 3" xfId="4376" xr:uid="{00000000-0005-0000-0000-00005E100000}"/>
    <cellStyle name="Comma 71 2 3 3 2" xfId="4377" xr:uid="{00000000-0005-0000-0000-00005F100000}"/>
    <cellStyle name="Comma 71 2 3 4" xfId="4378" xr:uid="{00000000-0005-0000-0000-000060100000}"/>
    <cellStyle name="Comma 71 2 4" xfId="4379" xr:uid="{00000000-0005-0000-0000-000061100000}"/>
    <cellStyle name="Comma 71 2 4 2" xfId="4380" xr:uid="{00000000-0005-0000-0000-000062100000}"/>
    <cellStyle name="Comma 71 2 4 2 2" xfId="4381" xr:uid="{00000000-0005-0000-0000-000063100000}"/>
    <cellStyle name="Comma 71 2 4 3" xfId="4382" xr:uid="{00000000-0005-0000-0000-000064100000}"/>
    <cellStyle name="Comma 71 2 5" xfId="4383" xr:uid="{00000000-0005-0000-0000-000065100000}"/>
    <cellStyle name="Comma 71 2 5 2" xfId="4384" xr:uid="{00000000-0005-0000-0000-000066100000}"/>
    <cellStyle name="Comma 71 2 6" xfId="4385" xr:uid="{00000000-0005-0000-0000-000067100000}"/>
    <cellStyle name="Comma 71 2 6 2" xfId="4386" xr:uid="{00000000-0005-0000-0000-000068100000}"/>
    <cellStyle name="Comma 71 2 7" xfId="4387" xr:uid="{00000000-0005-0000-0000-000069100000}"/>
    <cellStyle name="Comma 71 3" xfId="4388" xr:uid="{00000000-0005-0000-0000-00006A100000}"/>
    <cellStyle name="Comma 71 3 2" xfId="4389" xr:uid="{00000000-0005-0000-0000-00006B100000}"/>
    <cellStyle name="Comma 71 3 2 2" xfId="4390" xr:uid="{00000000-0005-0000-0000-00006C100000}"/>
    <cellStyle name="Comma 71 3 2 2 2" xfId="4391" xr:uid="{00000000-0005-0000-0000-00006D100000}"/>
    <cellStyle name="Comma 71 3 2 3" xfId="4392" xr:uid="{00000000-0005-0000-0000-00006E100000}"/>
    <cellStyle name="Comma 71 3 2 3 2" xfId="4393" xr:uid="{00000000-0005-0000-0000-00006F100000}"/>
    <cellStyle name="Comma 71 3 2 4" xfId="4394" xr:uid="{00000000-0005-0000-0000-000070100000}"/>
    <cellStyle name="Comma 71 3 3" xfId="4395" xr:uid="{00000000-0005-0000-0000-000071100000}"/>
    <cellStyle name="Comma 71 3 3 2" xfId="4396" xr:uid="{00000000-0005-0000-0000-000072100000}"/>
    <cellStyle name="Comma 71 3 3 2 2" xfId="4397" xr:uid="{00000000-0005-0000-0000-000073100000}"/>
    <cellStyle name="Comma 71 3 3 3" xfId="4398" xr:uid="{00000000-0005-0000-0000-000074100000}"/>
    <cellStyle name="Comma 71 3 4" xfId="4399" xr:uid="{00000000-0005-0000-0000-000075100000}"/>
    <cellStyle name="Comma 71 3 4 2" xfId="4400" xr:uid="{00000000-0005-0000-0000-000076100000}"/>
    <cellStyle name="Comma 71 3 5" xfId="4401" xr:uid="{00000000-0005-0000-0000-000077100000}"/>
    <cellStyle name="Comma 71 3 5 2" xfId="4402" xr:uid="{00000000-0005-0000-0000-000078100000}"/>
    <cellStyle name="Comma 71 3 6" xfId="4403" xr:uid="{00000000-0005-0000-0000-000079100000}"/>
    <cellStyle name="Comma 71 4" xfId="4404" xr:uid="{00000000-0005-0000-0000-00007A100000}"/>
    <cellStyle name="Comma 71 4 2" xfId="4405" xr:uid="{00000000-0005-0000-0000-00007B100000}"/>
    <cellStyle name="Comma 71 4 2 2" xfId="4406" xr:uid="{00000000-0005-0000-0000-00007C100000}"/>
    <cellStyle name="Comma 71 4 3" xfId="4407" xr:uid="{00000000-0005-0000-0000-00007D100000}"/>
    <cellStyle name="Comma 71 4 3 2" xfId="4408" xr:uid="{00000000-0005-0000-0000-00007E100000}"/>
    <cellStyle name="Comma 71 4 4" xfId="4409" xr:uid="{00000000-0005-0000-0000-00007F100000}"/>
    <cellStyle name="Comma 71 5" xfId="4410" xr:uid="{00000000-0005-0000-0000-000080100000}"/>
    <cellStyle name="Comma 71 5 2" xfId="4411" xr:uid="{00000000-0005-0000-0000-000081100000}"/>
    <cellStyle name="Comma 71 5 2 2" xfId="4412" xr:uid="{00000000-0005-0000-0000-000082100000}"/>
    <cellStyle name="Comma 71 5 3" xfId="4413" xr:uid="{00000000-0005-0000-0000-000083100000}"/>
    <cellStyle name="Comma 71 6" xfId="4414" xr:uid="{00000000-0005-0000-0000-000084100000}"/>
    <cellStyle name="Comma 71 6 2" xfId="4415" xr:uid="{00000000-0005-0000-0000-000085100000}"/>
    <cellStyle name="Comma 71 7" xfId="4416" xr:uid="{00000000-0005-0000-0000-000086100000}"/>
    <cellStyle name="Comma 71 7 2" xfId="4417" xr:uid="{00000000-0005-0000-0000-000087100000}"/>
    <cellStyle name="Comma 71 8" xfId="4418" xr:uid="{00000000-0005-0000-0000-000088100000}"/>
    <cellStyle name="Comma 72" xfId="4419" xr:uid="{00000000-0005-0000-0000-000089100000}"/>
    <cellStyle name="Comma 72 2" xfId="4420" xr:uid="{00000000-0005-0000-0000-00008A100000}"/>
    <cellStyle name="Comma 72 2 2" xfId="4421" xr:uid="{00000000-0005-0000-0000-00008B100000}"/>
    <cellStyle name="Comma 72 2 2 2" xfId="4422" xr:uid="{00000000-0005-0000-0000-00008C100000}"/>
    <cellStyle name="Comma 72 2 2 2 2" xfId="4423" xr:uid="{00000000-0005-0000-0000-00008D100000}"/>
    <cellStyle name="Comma 72 2 2 2 2 2" xfId="4424" xr:uid="{00000000-0005-0000-0000-00008E100000}"/>
    <cellStyle name="Comma 72 2 2 2 3" xfId="4425" xr:uid="{00000000-0005-0000-0000-00008F100000}"/>
    <cellStyle name="Comma 72 2 2 2 3 2" xfId="4426" xr:uid="{00000000-0005-0000-0000-000090100000}"/>
    <cellStyle name="Comma 72 2 2 2 4" xfId="4427" xr:uid="{00000000-0005-0000-0000-000091100000}"/>
    <cellStyle name="Comma 72 2 2 3" xfId="4428" xr:uid="{00000000-0005-0000-0000-000092100000}"/>
    <cellStyle name="Comma 72 2 2 3 2" xfId="4429" xr:uid="{00000000-0005-0000-0000-000093100000}"/>
    <cellStyle name="Comma 72 2 2 3 2 2" xfId="4430" xr:uid="{00000000-0005-0000-0000-000094100000}"/>
    <cellStyle name="Comma 72 2 2 3 3" xfId="4431" xr:uid="{00000000-0005-0000-0000-000095100000}"/>
    <cellStyle name="Comma 72 2 2 4" xfId="4432" xr:uid="{00000000-0005-0000-0000-000096100000}"/>
    <cellStyle name="Comma 72 2 2 4 2" xfId="4433" xr:uid="{00000000-0005-0000-0000-000097100000}"/>
    <cellStyle name="Comma 72 2 2 5" xfId="4434" xr:uid="{00000000-0005-0000-0000-000098100000}"/>
    <cellStyle name="Comma 72 2 2 5 2" xfId="4435" xr:uid="{00000000-0005-0000-0000-000099100000}"/>
    <cellStyle name="Comma 72 2 2 6" xfId="4436" xr:uid="{00000000-0005-0000-0000-00009A100000}"/>
    <cellStyle name="Comma 72 2 3" xfId="4437" xr:uid="{00000000-0005-0000-0000-00009B100000}"/>
    <cellStyle name="Comma 72 2 3 2" xfId="4438" xr:uid="{00000000-0005-0000-0000-00009C100000}"/>
    <cellStyle name="Comma 72 2 3 2 2" xfId="4439" xr:uid="{00000000-0005-0000-0000-00009D100000}"/>
    <cellStyle name="Comma 72 2 3 3" xfId="4440" xr:uid="{00000000-0005-0000-0000-00009E100000}"/>
    <cellStyle name="Comma 72 2 3 3 2" xfId="4441" xr:uid="{00000000-0005-0000-0000-00009F100000}"/>
    <cellStyle name="Comma 72 2 3 4" xfId="4442" xr:uid="{00000000-0005-0000-0000-0000A0100000}"/>
    <cellStyle name="Comma 72 2 4" xfId="4443" xr:uid="{00000000-0005-0000-0000-0000A1100000}"/>
    <cellStyle name="Comma 72 2 4 2" xfId="4444" xr:uid="{00000000-0005-0000-0000-0000A2100000}"/>
    <cellStyle name="Comma 72 2 4 2 2" xfId="4445" xr:uid="{00000000-0005-0000-0000-0000A3100000}"/>
    <cellStyle name="Comma 72 2 4 3" xfId="4446" xr:uid="{00000000-0005-0000-0000-0000A4100000}"/>
    <cellStyle name="Comma 72 2 5" xfId="4447" xr:uid="{00000000-0005-0000-0000-0000A5100000}"/>
    <cellStyle name="Comma 72 2 5 2" xfId="4448" xr:uid="{00000000-0005-0000-0000-0000A6100000}"/>
    <cellStyle name="Comma 72 2 6" xfId="4449" xr:uid="{00000000-0005-0000-0000-0000A7100000}"/>
    <cellStyle name="Comma 72 2 6 2" xfId="4450" xr:uid="{00000000-0005-0000-0000-0000A8100000}"/>
    <cellStyle name="Comma 72 2 7" xfId="4451" xr:uid="{00000000-0005-0000-0000-0000A9100000}"/>
    <cellStyle name="Comma 72 3" xfId="4452" xr:uid="{00000000-0005-0000-0000-0000AA100000}"/>
    <cellStyle name="Comma 72 3 2" xfId="4453" xr:uid="{00000000-0005-0000-0000-0000AB100000}"/>
    <cellStyle name="Comma 72 3 2 2" xfId="4454" xr:uid="{00000000-0005-0000-0000-0000AC100000}"/>
    <cellStyle name="Comma 72 3 2 2 2" xfId="4455" xr:uid="{00000000-0005-0000-0000-0000AD100000}"/>
    <cellStyle name="Comma 72 3 2 3" xfId="4456" xr:uid="{00000000-0005-0000-0000-0000AE100000}"/>
    <cellStyle name="Comma 72 3 2 3 2" xfId="4457" xr:uid="{00000000-0005-0000-0000-0000AF100000}"/>
    <cellStyle name="Comma 72 3 2 4" xfId="4458" xr:uid="{00000000-0005-0000-0000-0000B0100000}"/>
    <cellStyle name="Comma 72 3 3" xfId="4459" xr:uid="{00000000-0005-0000-0000-0000B1100000}"/>
    <cellStyle name="Comma 72 3 3 2" xfId="4460" xr:uid="{00000000-0005-0000-0000-0000B2100000}"/>
    <cellStyle name="Comma 72 3 3 2 2" xfId="4461" xr:uid="{00000000-0005-0000-0000-0000B3100000}"/>
    <cellStyle name="Comma 72 3 3 3" xfId="4462" xr:uid="{00000000-0005-0000-0000-0000B4100000}"/>
    <cellStyle name="Comma 72 3 4" xfId="4463" xr:uid="{00000000-0005-0000-0000-0000B5100000}"/>
    <cellStyle name="Comma 72 3 4 2" xfId="4464" xr:uid="{00000000-0005-0000-0000-0000B6100000}"/>
    <cellStyle name="Comma 72 3 5" xfId="4465" xr:uid="{00000000-0005-0000-0000-0000B7100000}"/>
    <cellStyle name="Comma 72 3 5 2" xfId="4466" xr:uid="{00000000-0005-0000-0000-0000B8100000}"/>
    <cellStyle name="Comma 72 3 6" xfId="4467" xr:uid="{00000000-0005-0000-0000-0000B9100000}"/>
    <cellStyle name="Comma 72 4" xfId="4468" xr:uid="{00000000-0005-0000-0000-0000BA100000}"/>
    <cellStyle name="Comma 72 4 2" xfId="4469" xr:uid="{00000000-0005-0000-0000-0000BB100000}"/>
    <cellStyle name="Comma 72 4 2 2" xfId="4470" xr:uid="{00000000-0005-0000-0000-0000BC100000}"/>
    <cellStyle name="Comma 72 4 3" xfId="4471" xr:uid="{00000000-0005-0000-0000-0000BD100000}"/>
    <cellStyle name="Comma 72 4 3 2" xfId="4472" xr:uid="{00000000-0005-0000-0000-0000BE100000}"/>
    <cellStyle name="Comma 72 4 4" xfId="4473" xr:uid="{00000000-0005-0000-0000-0000BF100000}"/>
    <cellStyle name="Comma 72 5" xfId="4474" xr:uid="{00000000-0005-0000-0000-0000C0100000}"/>
    <cellStyle name="Comma 72 5 2" xfId="4475" xr:uid="{00000000-0005-0000-0000-0000C1100000}"/>
    <cellStyle name="Comma 72 5 2 2" xfId="4476" xr:uid="{00000000-0005-0000-0000-0000C2100000}"/>
    <cellStyle name="Comma 72 5 3" xfId="4477" xr:uid="{00000000-0005-0000-0000-0000C3100000}"/>
    <cellStyle name="Comma 72 6" xfId="4478" xr:uid="{00000000-0005-0000-0000-0000C4100000}"/>
    <cellStyle name="Comma 72 6 2" xfId="4479" xr:uid="{00000000-0005-0000-0000-0000C5100000}"/>
    <cellStyle name="Comma 72 7" xfId="4480" xr:uid="{00000000-0005-0000-0000-0000C6100000}"/>
    <cellStyle name="Comma 72 7 2" xfId="4481" xr:uid="{00000000-0005-0000-0000-0000C7100000}"/>
    <cellStyle name="Comma 72 8" xfId="4482" xr:uid="{00000000-0005-0000-0000-0000C8100000}"/>
    <cellStyle name="Comma 73" xfId="4483" xr:uid="{00000000-0005-0000-0000-0000C9100000}"/>
    <cellStyle name="Comma 73 2" xfId="4484" xr:uid="{00000000-0005-0000-0000-0000CA100000}"/>
    <cellStyle name="Comma 73 2 2" xfId="4485" xr:uid="{00000000-0005-0000-0000-0000CB100000}"/>
    <cellStyle name="Comma 73 2 2 2" xfId="4486" xr:uid="{00000000-0005-0000-0000-0000CC100000}"/>
    <cellStyle name="Comma 73 2 2 2 2" xfId="4487" xr:uid="{00000000-0005-0000-0000-0000CD100000}"/>
    <cellStyle name="Comma 73 2 2 2 2 2" xfId="4488" xr:uid="{00000000-0005-0000-0000-0000CE100000}"/>
    <cellStyle name="Comma 73 2 2 2 3" xfId="4489" xr:uid="{00000000-0005-0000-0000-0000CF100000}"/>
    <cellStyle name="Comma 73 2 2 2 3 2" xfId="4490" xr:uid="{00000000-0005-0000-0000-0000D0100000}"/>
    <cellStyle name="Comma 73 2 2 2 4" xfId="4491" xr:uid="{00000000-0005-0000-0000-0000D1100000}"/>
    <cellStyle name="Comma 73 2 2 3" xfId="4492" xr:uid="{00000000-0005-0000-0000-0000D2100000}"/>
    <cellStyle name="Comma 73 2 2 3 2" xfId="4493" xr:uid="{00000000-0005-0000-0000-0000D3100000}"/>
    <cellStyle name="Comma 73 2 2 3 2 2" xfId="4494" xr:uid="{00000000-0005-0000-0000-0000D4100000}"/>
    <cellStyle name="Comma 73 2 2 3 3" xfId="4495" xr:uid="{00000000-0005-0000-0000-0000D5100000}"/>
    <cellStyle name="Comma 73 2 2 4" xfId="4496" xr:uid="{00000000-0005-0000-0000-0000D6100000}"/>
    <cellStyle name="Comma 73 2 2 4 2" xfId="4497" xr:uid="{00000000-0005-0000-0000-0000D7100000}"/>
    <cellStyle name="Comma 73 2 2 5" xfId="4498" xr:uid="{00000000-0005-0000-0000-0000D8100000}"/>
    <cellStyle name="Comma 73 2 2 5 2" xfId="4499" xr:uid="{00000000-0005-0000-0000-0000D9100000}"/>
    <cellStyle name="Comma 73 2 2 6" xfId="4500" xr:uid="{00000000-0005-0000-0000-0000DA100000}"/>
    <cellStyle name="Comma 73 2 3" xfId="4501" xr:uid="{00000000-0005-0000-0000-0000DB100000}"/>
    <cellStyle name="Comma 73 2 3 2" xfId="4502" xr:uid="{00000000-0005-0000-0000-0000DC100000}"/>
    <cellStyle name="Comma 73 2 3 2 2" xfId="4503" xr:uid="{00000000-0005-0000-0000-0000DD100000}"/>
    <cellStyle name="Comma 73 2 3 3" xfId="4504" xr:uid="{00000000-0005-0000-0000-0000DE100000}"/>
    <cellStyle name="Comma 73 2 3 3 2" xfId="4505" xr:uid="{00000000-0005-0000-0000-0000DF100000}"/>
    <cellStyle name="Comma 73 2 3 4" xfId="4506" xr:uid="{00000000-0005-0000-0000-0000E0100000}"/>
    <cellStyle name="Comma 73 2 4" xfId="4507" xr:uid="{00000000-0005-0000-0000-0000E1100000}"/>
    <cellStyle name="Comma 73 2 4 2" xfId="4508" xr:uid="{00000000-0005-0000-0000-0000E2100000}"/>
    <cellStyle name="Comma 73 2 4 2 2" xfId="4509" xr:uid="{00000000-0005-0000-0000-0000E3100000}"/>
    <cellStyle name="Comma 73 2 4 3" xfId="4510" xr:uid="{00000000-0005-0000-0000-0000E4100000}"/>
    <cellStyle name="Comma 73 2 5" xfId="4511" xr:uid="{00000000-0005-0000-0000-0000E5100000}"/>
    <cellStyle name="Comma 73 2 5 2" xfId="4512" xr:uid="{00000000-0005-0000-0000-0000E6100000}"/>
    <cellStyle name="Comma 73 2 6" xfId="4513" xr:uid="{00000000-0005-0000-0000-0000E7100000}"/>
    <cellStyle name="Comma 73 2 6 2" xfId="4514" xr:uid="{00000000-0005-0000-0000-0000E8100000}"/>
    <cellStyle name="Comma 73 2 7" xfId="4515" xr:uid="{00000000-0005-0000-0000-0000E9100000}"/>
    <cellStyle name="Comma 73 3" xfId="4516" xr:uid="{00000000-0005-0000-0000-0000EA100000}"/>
    <cellStyle name="Comma 73 3 2" xfId="4517" xr:uid="{00000000-0005-0000-0000-0000EB100000}"/>
    <cellStyle name="Comma 73 3 2 2" xfId="4518" xr:uid="{00000000-0005-0000-0000-0000EC100000}"/>
    <cellStyle name="Comma 73 3 2 2 2" xfId="4519" xr:uid="{00000000-0005-0000-0000-0000ED100000}"/>
    <cellStyle name="Comma 73 3 2 3" xfId="4520" xr:uid="{00000000-0005-0000-0000-0000EE100000}"/>
    <cellStyle name="Comma 73 3 2 3 2" xfId="4521" xr:uid="{00000000-0005-0000-0000-0000EF100000}"/>
    <cellStyle name="Comma 73 3 2 4" xfId="4522" xr:uid="{00000000-0005-0000-0000-0000F0100000}"/>
    <cellStyle name="Comma 73 3 3" xfId="4523" xr:uid="{00000000-0005-0000-0000-0000F1100000}"/>
    <cellStyle name="Comma 73 3 3 2" xfId="4524" xr:uid="{00000000-0005-0000-0000-0000F2100000}"/>
    <cellStyle name="Comma 73 3 3 2 2" xfId="4525" xr:uid="{00000000-0005-0000-0000-0000F3100000}"/>
    <cellStyle name="Comma 73 3 3 3" xfId="4526" xr:uid="{00000000-0005-0000-0000-0000F4100000}"/>
    <cellStyle name="Comma 73 3 4" xfId="4527" xr:uid="{00000000-0005-0000-0000-0000F5100000}"/>
    <cellStyle name="Comma 73 3 4 2" xfId="4528" xr:uid="{00000000-0005-0000-0000-0000F6100000}"/>
    <cellStyle name="Comma 73 3 5" xfId="4529" xr:uid="{00000000-0005-0000-0000-0000F7100000}"/>
    <cellStyle name="Comma 73 3 5 2" xfId="4530" xr:uid="{00000000-0005-0000-0000-0000F8100000}"/>
    <cellStyle name="Comma 73 3 6" xfId="4531" xr:uid="{00000000-0005-0000-0000-0000F9100000}"/>
    <cellStyle name="Comma 73 4" xfId="4532" xr:uid="{00000000-0005-0000-0000-0000FA100000}"/>
    <cellStyle name="Comma 73 4 2" xfId="4533" xr:uid="{00000000-0005-0000-0000-0000FB100000}"/>
    <cellStyle name="Comma 73 4 2 2" xfId="4534" xr:uid="{00000000-0005-0000-0000-0000FC100000}"/>
    <cellStyle name="Comma 73 4 3" xfId="4535" xr:uid="{00000000-0005-0000-0000-0000FD100000}"/>
    <cellStyle name="Comma 73 4 3 2" xfId="4536" xr:uid="{00000000-0005-0000-0000-0000FE100000}"/>
    <cellStyle name="Comma 73 4 4" xfId="4537" xr:uid="{00000000-0005-0000-0000-0000FF100000}"/>
    <cellStyle name="Comma 73 5" xfId="4538" xr:uid="{00000000-0005-0000-0000-000000110000}"/>
    <cellStyle name="Comma 73 5 2" xfId="4539" xr:uid="{00000000-0005-0000-0000-000001110000}"/>
    <cellStyle name="Comma 73 5 2 2" xfId="4540" xr:uid="{00000000-0005-0000-0000-000002110000}"/>
    <cellStyle name="Comma 73 5 3" xfId="4541" xr:uid="{00000000-0005-0000-0000-000003110000}"/>
    <cellStyle name="Comma 73 6" xfId="4542" xr:uid="{00000000-0005-0000-0000-000004110000}"/>
    <cellStyle name="Comma 73 6 2" xfId="4543" xr:uid="{00000000-0005-0000-0000-000005110000}"/>
    <cellStyle name="Comma 73 7" xfId="4544" xr:uid="{00000000-0005-0000-0000-000006110000}"/>
    <cellStyle name="Comma 73 7 2" xfId="4545" xr:uid="{00000000-0005-0000-0000-000007110000}"/>
    <cellStyle name="Comma 73 8" xfId="4546" xr:uid="{00000000-0005-0000-0000-000008110000}"/>
    <cellStyle name="Comma 74" xfId="4547" xr:uid="{00000000-0005-0000-0000-000009110000}"/>
    <cellStyle name="Comma 74 2" xfId="4548" xr:uid="{00000000-0005-0000-0000-00000A110000}"/>
    <cellStyle name="Comma 74 2 2" xfId="4549" xr:uid="{00000000-0005-0000-0000-00000B110000}"/>
    <cellStyle name="Comma 74 2 2 2" xfId="4550" xr:uid="{00000000-0005-0000-0000-00000C110000}"/>
    <cellStyle name="Comma 74 2 2 2 2" xfId="4551" xr:uid="{00000000-0005-0000-0000-00000D110000}"/>
    <cellStyle name="Comma 74 2 2 2 2 2" xfId="4552" xr:uid="{00000000-0005-0000-0000-00000E110000}"/>
    <cellStyle name="Comma 74 2 2 2 3" xfId="4553" xr:uid="{00000000-0005-0000-0000-00000F110000}"/>
    <cellStyle name="Comma 74 2 2 2 3 2" xfId="4554" xr:uid="{00000000-0005-0000-0000-000010110000}"/>
    <cellStyle name="Comma 74 2 2 2 4" xfId="4555" xr:uid="{00000000-0005-0000-0000-000011110000}"/>
    <cellStyle name="Comma 74 2 2 3" xfId="4556" xr:uid="{00000000-0005-0000-0000-000012110000}"/>
    <cellStyle name="Comma 74 2 2 3 2" xfId="4557" xr:uid="{00000000-0005-0000-0000-000013110000}"/>
    <cellStyle name="Comma 74 2 2 3 2 2" xfId="4558" xr:uid="{00000000-0005-0000-0000-000014110000}"/>
    <cellStyle name="Comma 74 2 2 3 3" xfId="4559" xr:uid="{00000000-0005-0000-0000-000015110000}"/>
    <cellStyle name="Comma 74 2 2 4" xfId="4560" xr:uid="{00000000-0005-0000-0000-000016110000}"/>
    <cellStyle name="Comma 74 2 2 4 2" xfId="4561" xr:uid="{00000000-0005-0000-0000-000017110000}"/>
    <cellStyle name="Comma 74 2 2 5" xfId="4562" xr:uid="{00000000-0005-0000-0000-000018110000}"/>
    <cellStyle name="Comma 74 2 2 5 2" xfId="4563" xr:uid="{00000000-0005-0000-0000-000019110000}"/>
    <cellStyle name="Comma 74 2 2 6" xfId="4564" xr:uid="{00000000-0005-0000-0000-00001A110000}"/>
    <cellStyle name="Comma 74 2 3" xfId="4565" xr:uid="{00000000-0005-0000-0000-00001B110000}"/>
    <cellStyle name="Comma 74 2 3 2" xfId="4566" xr:uid="{00000000-0005-0000-0000-00001C110000}"/>
    <cellStyle name="Comma 74 2 3 2 2" xfId="4567" xr:uid="{00000000-0005-0000-0000-00001D110000}"/>
    <cellStyle name="Comma 74 2 3 3" xfId="4568" xr:uid="{00000000-0005-0000-0000-00001E110000}"/>
    <cellStyle name="Comma 74 2 3 3 2" xfId="4569" xr:uid="{00000000-0005-0000-0000-00001F110000}"/>
    <cellStyle name="Comma 74 2 3 4" xfId="4570" xr:uid="{00000000-0005-0000-0000-000020110000}"/>
    <cellStyle name="Comma 74 2 4" xfId="4571" xr:uid="{00000000-0005-0000-0000-000021110000}"/>
    <cellStyle name="Comma 74 2 4 2" xfId="4572" xr:uid="{00000000-0005-0000-0000-000022110000}"/>
    <cellStyle name="Comma 74 2 4 2 2" xfId="4573" xr:uid="{00000000-0005-0000-0000-000023110000}"/>
    <cellStyle name="Comma 74 2 4 3" xfId="4574" xr:uid="{00000000-0005-0000-0000-000024110000}"/>
    <cellStyle name="Comma 74 2 5" xfId="4575" xr:uid="{00000000-0005-0000-0000-000025110000}"/>
    <cellStyle name="Comma 74 2 5 2" xfId="4576" xr:uid="{00000000-0005-0000-0000-000026110000}"/>
    <cellStyle name="Comma 74 2 6" xfId="4577" xr:uid="{00000000-0005-0000-0000-000027110000}"/>
    <cellStyle name="Comma 74 2 6 2" xfId="4578" xr:uid="{00000000-0005-0000-0000-000028110000}"/>
    <cellStyle name="Comma 74 2 7" xfId="4579" xr:uid="{00000000-0005-0000-0000-000029110000}"/>
    <cellStyle name="Comma 74 3" xfId="4580" xr:uid="{00000000-0005-0000-0000-00002A110000}"/>
    <cellStyle name="Comma 74 3 2" xfId="4581" xr:uid="{00000000-0005-0000-0000-00002B110000}"/>
    <cellStyle name="Comma 74 3 2 2" xfId="4582" xr:uid="{00000000-0005-0000-0000-00002C110000}"/>
    <cellStyle name="Comma 74 3 2 2 2" xfId="4583" xr:uid="{00000000-0005-0000-0000-00002D110000}"/>
    <cellStyle name="Comma 74 3 2 3" xfId="4584" xr:uid="{00000000-0005-0000-0000-00002E110000}"/>
    <cellStyle name="Comma 74 3 2 3 2" xfId="4585" xr:uid="{00000000-0005-0000-0000-00002F110000}"/>
    <cellStyle name="Comma 74 3 2 4" xfId="4586" xr:uid="{00000000-0005-0000-0000-000030110000}"/>
    <cellStyle name="Comma 74 3 3" xfId="4587" xr:uid="{00000000-0005-0000-0000-000031110000}"/>
    <cellStyle name="Comma 74 3 3 2" xfId="4588" xr:uid="{00000000-0005-0000-0000-000032110000}"/>
    <cellStyle name="Comma 74 3 3 2 2" xfId="4589" xr:uid="{00000000-0005-0000-0000-000033110000}"/>
    <cellStyle name="Comma 74 3 3 3" xfId="4590" xr:uid="{00000000-0005-0000-0000-000034110000}"/>
    <cellStyle name="Comma 74 3 4" xfId="4591" xr:uid="{00000000-0005-0000-0000-000035110000}"/>
    <cellStyle name="Comma 74 3 4 2" xfId="4592" xr:uid="{00000000-0005-0000-0000-000036110000}"/>
    <cellStyle name="Comma 74 3 5" xfId="4593" xr:uid="{00000000-0005-0000-0000-000037110000}"/>
    <cellStyle name="Comma 74 3 5 2" xfId="4594" xr:uid="{00000000-0005-0000-0000-000038110000}"/>
    <cellStyle name="Comma 74 3 6" xfId="4595" xr:uid="{00000000-0005-0000-0000-000039110000}"/>
    <cellStyle name="Comma 74 4" xfId="4596" xr:uid="{00000000-0005-0000-0000-00003A110000}"/>
    <cellStyle name="Comma 74 4 2" xfId="4597" xr:uid="{00000000-0005-0000-0000-00003B110000}"/>
    <cellStyle name="Comma 74 4 2 2" xfId="4598" xr:uid="{00000000-0005-0000-0000-00003C110000}"/>
    <cellStyle name="Comma 74 4 3" xfId="4599" xr:uid="{00000000-0005-0000-0000-00003D110000}"/>
    <cellStyle name="Comma 74 4 3 2" xfId="4600" xr:uid="{00000000-0005-0000-0000-00003E110000}"/>
    <cellStyle name="Comma 74 4 4" xfId="4601" xr:uid="{00000000-0005-0000-0000-00003F110000}"/>
    <cellStyle name="Comma 74 5" xfId="4602" xr:uid="{00000000-0005-0000-0000-000040110000}"/>
    <cellStyle name="Comma 74 5 2" xfId="4603" xr:uid="{00000000-0005-0000-0000-000041110000}"/>
    <cellStyle name="Comma 74 5 2 2" xfId="4604" xr:uid="{00000000-0005-0000-0000-000042110000}"/>
    <cellStyle name="Comma 74 5 3" xfId="4605" xr:uid="{00000000-0005-0000-0000-000043110000}"/>
    <cellStyle name="Comma 74 6" xfId="4606" xr:uid="{00000000-0005-0000-0000-000044110000}"/>
    <cellStyle name="Comma 74 6 2" xfId="4607" xr:uid="{00000000-0005-0000-0000-000045110000}"/>
    <cellStyle name="Comma 74 7" xfId="4608" xr:uid="{00000000-0005-0000-0000-000046110000}"/>
    <cellStyle name="Comma 74 7 2" xfId="4609" xr:uid="{00000000-0005-0000-0000-000047110000}"/>
    <cellStyle name="Comma 74 8" xfId="4610" xr:uid="{00000000-0005-0000-0000-000048110000}"/>
    <cellStyle name="Comma 75" xfId="4611" xr:uid="{00000000-0005-0000-0000-000049110000}"/>
    <cellStyle name="Comma 75 2" xfId="4612" xr:uid="{00000000-0005-0000-0000-00004A110000}"/>
    <cellStyle name="Comma 75 2 2" xfId="4613" xr:uid="{00000000-0005-0000-0000-00004B110000}"/>
    <cellStyle name="Comma 75 2 2 2" xfId="4614" xr:uid="{00000000-0005-0000-0000-00004C110000}"/>
    <cellStyle name="Comma 75 2 2 2 2" xfId="4615" xr:uid="{00000000-0005-0000-0000-00004D110000}"/>
    <cellStyle name="Comma 75 2 2 2 2 2" xfId="4616" xr:uid="{00000000-0005-0000-0000-00004E110000}"/>
    <cellStyle name="Comma 75 2 2 2 3" xfId="4617" xr:uid="{00000000-0005-0000-0000-00004F110000}"/>
    <cellStyle name="Comma 75 2 2 2 3 2" xfId="4618" xr:uid="{00000000-0005-0000-0000-000050110000}"/>
    <cellStyle name="Comma 75 2 2 2 4" xfId="4619" xr:uid="{00000000-0005-0000-0000-000051110000}"/>
    <cellStyle name="Comma 75 2 2 3" xfId="4620" xr:uid="{00000000-0005-0000-0000-000052110000}"/>
    <cellStyle name="Comma 75 2 2 3 2" xfId="4621" xr:uid="{00000000-0005-0000-0000-000053110000}"/>
    <cellStyle name="Comma 75 2 2 3 2 2" xfId="4622" xr:uid="{00000000-0005-0000-0000-000054110000}"/>
    <cellStyle name="Comma 75 2 2 3 3" xfId="4623" xr:uid="{00000000-0005-0000-0000-000055110000}"/>
    <cellStyle name="Comma 75 2 2 4" xfId="4624" xr:uid="{00000000-0005-0000-0000-000056110000}"/>
    <cellStyle name="Comma 75 2 2 4 2" xfId="4625" xr:uid="{00000000-0005-0000-0000-000057110000}"/>
    <cellStyle name="Comma 75 2 2 5" xfId="4626" xr:uid="{00000000-0005-0000-0000-000058110000}"/>
    <cellStyle name="Comma 75 2 2 5 2" xfId="4627" xr:uid="{00000000-0005-0000-0000-000059110000}"/>
    <cellStyle name="Comma 75 2 2 6" xfId="4628" xr:uid="{00000000-0005-0000-0000-00005A110000}"/>
    <cellStyle name="Comma 75 2 3" xfId="4629" xr:uid="{00000000-0005-0000-0000-00005B110000}"/>
    <cellStyle name="Comma 75 2 3 2" xfId="4630" xr:uid="{00000000-0005-0000-0000-00005C110000}"/>
    <cellStyle name="Comma 75 2 3 2 2" xfId="4631" xr:uid="{00000000-0005-0000-0000-00005D110000}"/>
    <cellStyle name="Comma 75 2 3 3" xfId="4632" xr:uid="{00000000-0005-0000-0000-00005E110000}"/>
    <cellStyle name="Comma 75 2 3 3 2" xfId="4633" xr:uid="{00000000-0005-0000-0000-00005F110000}"/>
    <cellStyle name="Comma 75 2 3 4" xfId="4634" xr:uid="{00000000-0005-0000-0000-000060110000}"/>
    <cellStyle name="Comma 75 2 4" xfId="4635" xr:uid="{00000000-0005-0000-0000-000061110000}"/>
    <cellStyle name="Comma 75 2 4 2" xfId="4636" xr:uid="{00000000-0005-0000-0000-000062110000}"/>
    <cellStyle name="Comma 75 2 4 2 2" xfId="4637" xr:uid="{00000000-0005-0000-0000-000063110000}"/>
    <cellStyle name="Comma 75 2 4 3" xfId="4638" xr:uid="{00000000-0005-0000-0000-000064110000}"/>
    <cellStyle name="Comma 75 2 5" xfId="4639" xr:uid="{00000000-0005-0000-0000-000065110000}"/>
    <cellStyle name="Comma 75 2 5 2" xfId="4640" xr:uid="{00000000-0005-0000-0000-000066110000}"/>
    <cellStyle name="Comma 75 2 6" xfId="4641" xr:uid="{00000000-0005-0000-0000-000067110000}"/>
    <cellStyle name="Comma 75 2 6 2" xfId="4642" xr:uid="{00000000-0005-0000-0000-000068110000}"/>
    <cellStyle name="Comma 75 2 7" xfId="4643" xr:uid="{00000000-0005-0000-0000-000069110000}"/>
    <cellStyle name="Comma 75 3" xfId="4644" xr:uid="{00000000-0005-0000-0000-00006A110000}"/>
    <cellStyle name="Comma 75 3 2" xfId="4645" xr:uid="{00000000-0005-0000-0000-00006B110000}"/>
    <cellStyle name="Comma 75 3 2 2" xfId="4646" xr:uid="{00000000-0005-0000-0000-00006C110000}"/>
    <cellStyle name="Comma 75 3 2 2 2" xfId="4647" xr:uid="{00000000-0005-0000-0000-00006D110000}"/>
    <cellStyle name="Comma 75 3 2 3" xfId="4648" xr:uid="{00000000-0005-0000-0000-00006E110000}"/>
    <cellStyle name="Comma 75 3 2 3 2" xfId="4649" xr:uid="{00000000-0005-0000-0000-00006F110000}"/>
    <cellStyle name="Comma 75 3 2 4" xfId="4650" xr:uid="{00000000-0005-0000-0000-000070110000}"/>
    <cellStyle name="Comma 75 3 3" xfId="4651" xr:uid="{00000000-0005-0000-0000-000071110000}"/>
    <cellStyle name="Comma 75 3 3 2" xfId="4652" xr:uid="{00000000-0005-0000-0000-000072110000}"/>
    <cellStyle name="Comma 75 3 3 2 2" xfId="4653" xr:uid="{00000000-0005-0000-0000-000073110000}"/>
    <cellStyle name="Comma 75 3 3 3" xfId="4654" xr:uid="{00000000-0005-0000-0000-000074110000}"/>
    <cellStyle name="Comma 75 3 4" xfId="4655" xr:uid="{00000000-0005-0000-0000-000075110000}"/>
    <cellStyle name="Comma 75 3 4 2" xfId="4656" xr:uid="{00000000-0005-0000-0000-000076110000}"/>
    <cellStyle name="Comma 75 3 5" xfId="4657" xr:uid="{00000000-0005-0000-0000-000077110000}"/>
    <cellStyle name="Comma 75 3 5 2" xfId="4658" xr:uid="{00000000-0005-0000-0000-000078110000}"/>
    <cellStyle name="Comma 75 3 6" xfId="4659" xr:uid="{00000000-0005-0000-0000-000079110000}"/>
    <cellStyle name="Comma 75 4" xfId="4660" xr:uid="{00000000-0005-0000-0000-00007A110000}"/>
    <cellStyle name="Comma 75 4 2" xfId="4661" xr:uid="{00000000-0005-0000-0000-00007B110000}"/>
    <cellStyle name="Comma 75 4 2 2" xfId="4662" xr:uid="{00000000-0005-0000-0000-00007C110000}"/>
    <cellStyle name="Comma 75 4 3" xfId="4663" xr:uid="{00000000-0005-0000-0000-00007D110000}"/>
    <cellStyle name="Comma 75 4 3 2" xfId="4664" xr:uid="{00000000-0005-0000-0000-00007E110000}"/>
    <cellStyle name="Comma 75 4 4" xfId="4665" xr:uid="{00000000-0005-0000-0000-00007F110000}"/>
    <cellStyle name="Comma 75 5" xfId="4666" xr:uid="{00000000-0005-0000-0000-000080110000}"/>
    <cellStyle name="Comma 75 5 2" xfId="4667" xr:uid="{00000000-0005-0000-0000-000081110000}"/>
    <cellStyle name="Comma 75 5 2 2" xfId="4668" xr:uid="{00000000-0005-0000-0000-000082110000}"/>
    <cellStyle name="Comma 75 5 3" xfId="4669" xr:uid="{00000000-0005-0000-0000-000083110000}"/>
    <cellStyle name="Comma 75 6" xfId="4670" xr:uid="{00000000-0005-0000-0000-000084110000}"/>
    <cellStyle name="Comma 75 6 2" xfId="4671" xr:uid="{00000000-0005-0000-0000-000085110000}"/>
    <cellStyle name="Comma 75 7" xfId="4672" xr:uid="{00000000-0005-0000-0000-000086110000}"/>
    <cellStyle name="Comma 75 7 2" xfId="4673" xr:uid="{00000000-0005-0000-0000-000087110000}"/>
    <cellStyle name="Comma 75 8" xfId="4674" xr:uid="{00000000-0005-0000-0000-000088110000}"/>
    <cellStyle name="Comma 76" xfId="4675" xr:uid="{00000000-0005-0000-0000-000089110000}"/>
    <cellStyle name="Comma 76 2" xfId="4676" xr:uid="{00000000-0005-0000-0000-00008A110000}"/>
    <cellStyle name="Comma 76 2 2" xfId="4677" xr:uid="{00000000-0005-0000-0000-00008B110000}"/>
    <cellStyle name="Comma 76 2 2 2" xfId="4678" xr:uid="{00000000-0005-0000-0000-00008C110000}"/>
    <cellStyle name="Comma 76 2 2 2 2" xfId="4679" xr:uid="{00000000-0005-0000-0000-00008D110000}"/>
    <cellStyle name="Comma 76 2 2 2 2 2" xfId="4680" xr:uid="{00000000-0005-0000-0000-00008E110000}"/>
    <cellStyle name="Comma 76 2 2 2 3" xfId="4681" xr:uid="{00000000-0005-0000-0000-00008F110000}"/>
    <cellStyle name="Comma 76 2 2 2 3 2" xfId="4682" xr:uid="{00000000-0005-0000-0000-000090110000}"/>
    <cellStyle name="Comma 76 2 2 2 4" xfId="4683" xr:uid="{00000000-0005-0000-0000-000091110000}"/>
    <cellStyle name="Comma 76 2 2 3" xfId="4684" xr:uid="{00000000-0005-0000-0000-000092110000}"/>
    <cellStyle name="Comma 76 2 2 3 2" xfId="4685" xr:uid="{00000000-0005-0000-0000-000093110000}"/>
    <cellStyle name="Comma 76 2 2 3 2 2" xfId="4686" xr:uid="{00000000-0005-0000-0000-000094110000}"/>
    <cellStyle name="Comma 76 2 2 3 3" xfId="4687" xr:uid="{00000000-0005-0000-0000-000095110000}"/>
    <cellStyle name="Comma 76 2 2 4" xfId="4688" xr:uid="{00000000-0005-0000-0000-000096110000}"/>
    <cellStyle name="Comma 76 2 2 4 2" xfId="4689" xr:uid="{00000000-0005-0000-0000-000097110000}"/>
    <cellStyle name="Comma 76 2 2 5" xfId="4690" xr:uid="{00000000-0005-0000-0000-000098110000}"/>
    <cellStyle name="Comma 76 2 2 5 2" xfId="4691" xr:uid="{00000000-0005-0000-0000-000099110000}"/>
    <cellStyle name="Comma 76 2 2 6" xfId="4692" xr:uid="{00000000-0005-0000-0000-00009A110000}"/>
    <cellStyle name="Comma 76 2 3" xfId="4693" xr:uid="{00000000-0005-0000-0000-00009B110000}"/>
    <cellStyle name="Comma 76 2 3 2" xfId="4694" xr:uid="{00000000-0005-0000-0000-00009C110000}"/>
    <cellStyle name="Comma 76 2 3 2 2" xfId="4695" xr:uid="{00000000-0005-0000-0000-00009D110000}"/>
    <cellStyle name="Comma 76 2 3 3" xfId="4696" xr:uid="{00000000-0005-0000-0000-00009E110000}"/>
    <cellStyle name="Comma 76 2 3 3 2" xfId="4697" xr:uid="{00000000-0005-0000-0000-00009F110000}"/>
    <cellStyle name="Comma 76 2 3 4" xfId="4698" xr:uid="{00000000-0005-0000-0000-0000A0110000}"/>
    <cellStyle name="Comma 76 2 4" xfId="4699" xr:uid="{00000000-0005-0000-0000-0000A1110000}"/>
    <cellStyle name="Comma 76 2 4 2" xfId="4700" xr:uid="{00000000-0005-0000-0000-0000A2110000}"/>
    <cellStyle name="Comma 76 2 4 2 2" xfId="4701" xr:uid="{00000000-0005-0000-0000-0000A3110000}"/>
    <cellStyle name="Comma 76 2 4 3" xfId="4702" xr:uid="{00000000-0005-0000-0000-0000A4110000}"/>
    <cellStyle name="Comma 76 2 5" xfId="4703" xr:uid="{00000000-0005-0000-0000-0000A5110000}"/>
    <cellStyle name="Comma 76 2 5 2" xfId="4704" xr:uid="{00000000-0005-0000-0000-0000A6110000}"/>
    <cellStyle name="Comma 76 2 6" xfId="4705" xr:uid="{00000000-0005-0000-0000-0000A7110000}"/>
    <cellStyle name="Comma 76 2 6 2" xfId="4706" xr:uid="{00000000-0005-0000-0000-0000A8110000}"/>
    <cellStyle name="Comma 76 2 7" xfId="4707" xr:uid="{00000000-0005-0000-0000-0000A9110000}"/>
    <cellStyle name="Comma 76 3" xfId="4708" xr:uid="{00000000-0005-0000-0000-0000AA110000}"/>
    <cellStyle name="Comma 76 3 2" xfId="4709" xr:uid="{00000000-0005-0000-0000-0000AB110000}"/>
    <cellStyle name="Comma 76 3 2 2" xfId="4710" xr:uid="{00000000-0005-0000-0000-0000AC110000}"/>
    <cellStyle name="Comma 76 3 2 2 2" xfId="4711" xr:uid="{00000000-0005-0000-0000-0000AD110000}"/>
    <cellStyle name="Comma 76 3 2 3" xfId="4712" xr:uid="{00000000-0005-0000-0000-0000AE110000}"/>
    <cellStyle name="Comma 76 3 2 3 2" xfId="4713" xr:uid="{00000000-0005-0000-0000-0000AF110000}"/>
    <cellStyle name="Comma 76 3 2 4" xfId="4714" xr:uid="{00000000-0005-0000-0000-0000B0110000}"/>
    <cellStyle name="Comma 76 3 3" xfId="4715" xr:uid="{00000000-0005-0000-0000-0000B1110000}"/>
    <cellStyle name="Comma 76 3 3 2" xfId="4716" xr:uid="{00000000-0005-0000-0000-0000B2110000}"/>
    <cellStyle name="Comma 76 3 3 2 2" xfId="4717" xr:uid="{00000000-0005-0000-0000-0000B3110000}"/>
    <cellStyle name="Comma 76 3 3 3" xfId="4718" xr:uid="{00000000-0005-0000-0000-0000B4110000}"/>
    <cellStyle name="Comma 76 3 4" xfId="4719" xr:uid="{00000000-0005-0000-0000-0000B5110000}"/>
    <cellStyle name="Comma 76 3 4 2" xfId="4720" xr:uid="{00000000-0005-0000-0000-0000B6110000}"/>
    <cellStyle name="Comma 76 3 5" xfId="4721" xr:uid="{00000000-0005-0000-0000-0000B7110000}"/>
    <cellStyle name="Comma 76 3 5 2" xfId="4722" xr:uid="{00000000-0005-0000-0000-0000B8110000}"/>
    <cellStyle name="Comma 76 3 6" xfId="4723" xr:uid="{00000000-0005-0000-0000-0000B9110000}"/>
    <cellStyle name="Comma 76 4" xfId="4724" xr:uid="{00000000-0005-0000-0000-0000BA110000}"/>
    <cellStyle name="Comma 76 4 2" xfId="4725" xr:uid="{00000000-0005-0000-0000-0000BB110000}"/>
    <cellStyle name="Comma 76 4 2 2" xfId="4726" xr:uid="{00000000-0005-0000-0000-0000BC110000}"/>
    <cellStyle name="Comma 76 4 3" xfId="4727" xr:uid="{00000000-0005-0000-0000-0000BD110000}"/>
    <cellStyle name="Comma 76 4 3 2" xfId="4728" xr:uid="{00000000-0005-0000-0000-0000BE110000}"/>
    <cellStyle name="Comma 76 4 4" xfId="4729" xr:uid="{00000000-0005-0000-0000-0000BF110000}"/>
    <cellStyle name="Comma 76 5" xfId="4730" xr:uid="{00000000-0005-0000-0000-0000C0110000}"/>
    <cellStyle name="Comma 76 5 2" xfId="4731" xr:uid="{00000000-0005-0000-0000-0000C1110000}"/>
    <cellStyle name="Comma 76 5 2 2" xfId="4732" xr:uid="{00000000-0005-0000-0000-0000C2110000}"/>
    <cellStyle name="Comma 76 5 3" xfId="4733" xr:uid="{00000000-0005-0000-0000-0000C3110000}"/>
    <cellStyle name="Comma 76 6" xfId="4734" xr:uid="{00000000-0005-0000-0000-0000C4110000}"/>
    <cellStyle name="Comma 76 6 2" xfId="4735" xr:uid="{00000000-0005-0000-0000-0000C5110000}"/>
    <cellStyle name="Comma 76 7" xfId="4736" xr:uid="{00000000-0005-0000-0000-0000C6110000}"/>
    <cellStyle name="Comma 76 7 2" xfId="4737" xr:uid="{00000000-0005-0000-0000-0000C7110000}"/>
    <cellStyle name="Comma 76 8" xfId="4738" xr:uid="{00000000-0005-0000-0000-0000C8110000}"/>
    <cellStyle name="Comma 77" xfId="4739" xr:uid="{00000000-0005-0000-0000-0000C9110000}"/>
    <cellStyle name="Comma 77 2" xfId="4740" xr:uid="{00000000-0005-0000-0000-0000CA110000}"/>
    <cellStyle name="Comma 77 2 2" xfId="4741" xr:uid="{00000000-0005-0000-0000-0000CB110000}"/>
    <cellStyle name="Comma 77 2 2 2" xfId="4742" xr:uid="{00000000-0005-0000-0000-0000CC110000}"/>
    <cellStyle name="Comma 77 2 2 2 2" xfId="4743" xr:uid="{00000000-0005-0000-0000-0000CD110000}"/>
    <cellStyle name="Comma 77 2 2 2 2 2" xfId="4744" xr:uid="{00000000-0005-0000-0000-0000CE110000}"/>
    <cellStyle name="Comma 77 2 2 2 3" xfId="4745" xr:uid="{00000000-0005-0000-0000-0000CF110000}"/>
    <cellStyle name="Comma 77 2 2 2 3 2" xfId="4746" xr:uid="{00000000-0005-0000-0000-0000D0110000}"/>
    <cellStyle name="Comma 77 2 2 2 4" xfId="4747" xr:uid="{00000000-0005-0000-0000-0000D1110000}"/>
    <cellStyle name="Comma 77 2 2 3" xfId="4748" xr:uid="{00000000-0005-0000-0000-0000D2110000}"/>
    <cellStyle name="Comma 77 2 2 3 2" xfId="4749" xr:uid="{00000000-0005-0000-0000-0000D3110000}"/>
    <cellStyle name="Comma 77 2 2 3 2 2" xfId="4750" xr:uid="{00000000-0005-0000-0000-0000D4110000}"/>
    <cellStyle name="Comma 77 2 2 3 3" xfId="4751" xr:uid="{00000000-0005-0000-0000-0000D5110000}"/>
    <cellStyle name="Comma 77 2 2 4" xfId="4752" xr:uid="{00000000-0005-0000-0000-0000D6110000}"/>
    <cellStyle name="Comma 77 2 2 4 2" xfId="4753" xr:uid="{00000000-0005-0000-0000-0000D7110000}"/>
    <cellStyle name="Comma 77 2 2 5" xfId="4754" xr:uid="{00000000-0005-0000-0000-0000D8110000}"/>
    <cellStyle name="Comma 77 2 2 5 2" xfId="4755" xr:uid="{00000000-0005-0000-0000-0000D9110000}"/>
    <cellStyle name="Comma 77 2 2 6" xfId="4756" xr:uid="{00000000-0005-0000-0000-0000DA110000}"/>
    <cellStyle name="Comma 77 2 3" xfId="4757" xr:uid="{00000000-0005-0000-0000-0000DB110000}"/>
    <cellStyle name="Comma 77 2 3 2" xfId="4758" xr:uid="{00000000-0005-0000-0000-0000DC110000}"/>
    <cellStyle name="Comma 77 2 3 2 2" xfId="4759" xr:uid="{00000000-0005-0000-0000-0000DD110000}"/>
    <cellStyle name="Comma 77 2 3 3" xfId="4760" xr:uid="{00000000-0005-0000-0000-0000DE110000}"/>
    <cellStyle name="Comma 77 2 3 3 2" xfId="4761" xr:uid="{00000000-0005-0000-0000-0000DF110000}"/>
    <cellStyle name="Comma 77 2 3 4" xfId="4762" xr:uid="{00000000-0005-0000-0000-0000E0110000}"/>
    <cellStyle name="Comma 77 2 4" xfId="4763" xr:uid="{00000000-0005-0000-0000-0000E1110000}"/>
    <cellStyle name="Comma 77 2 4 2" xfId="4764" xr:uid="{00000000-0005-0000-0000-0000E2110000}"/>
    <cellStyle name="Comma 77 2 4 2 2" xfId="4765" xr:uid="{00000000-0005-0000-0000-0000E3110000}"/>
    <cellStyle name="Comma 77 2 4 3" xfId="4766" xr:uid="{00000000-0005-0000-0000-0000E4110000}"/>
    <cellStyle name="Comma 77 2 5" xfId="4767" xr:uid="{00000000-0005-0000-0000-0000E5110000}"/>
    <cellStyle name="Comma 77 2 5 2" xfId="4768" xr:uid="{00000000-0005-0000-0000-0000E6110000}"/>
    <cellStyle name="Comma 77 2 6" xfId="4769" xr:uid="{00000000-0005-0000-0000-0000E7110000}"/>
    <cellStyle name="Comma 77 2 6 2" xfId="4770" xr:uid="{00000000-0005-0000-0000-0000E8110000}"/>
    <cellStyle name="Comma 77 2 7" xfId="4771" xr:uid="{00000000-0005-0000-0000-0000E9110000}"/>
    <cellStyle name="Comma 77 3" xfId="4772" xr:uid="{00000000-0005-0000-0000-0000EA110000}"/>
    <cellStyle name="Comma 77 3 2" xfId="4773" xr:uid="{00000000-0005-0000-0000-0000EB110000}"/>
    <cellStyle name="Comma 77 3 2 2" xfId="4774" xr:uid="{00000000-0005-0000-0000-0000EC110000}"/>
    <cellStyle name="Comma 77 3 2 2 2" xfId="4775" xr:uid="{00000000-0005-0000-0000-0000ED110000}"/>
    <cellStyle name="Comma 77 3 2 3" xfId="4776" xr:uid="{00000000-0005-0000-0000-0000EE110000}"/>
    <cellStyle name="Comma 77 3 2 3 2" xfId="4777" xr:uid="{00000000-0005-0000-0000-0000EF110000}"/>
    <cellStyle name="Comma 77 3 2 4" xfId="4778" xr:uid="{00000000-0005-0000-0000-0000F0110000}"/>
    <cellStyle name="Comma 77 3 3" xfId="4779" xr:uid="{00000000-0005-0000-0000-0000F1110000}"/>
    <cellStyle name="Comma 77 3 3 2" xfId="4780" xr:uid="{00000000-0005-0000-0000-0000F2110000}"/>
    <cellStyle name="Comma 77 3 3 2 2" xfId="4781" xr:uid="{00000000-0005-0000-0000-0000F3110000}"/>
    <cellStyle name="Comma 77 3 3 3" xfId="4782" xr:uid="{00000000-0005-0000-0000-0000F4110000}"/>
    <cellStyle name="Comma 77 3 4" xfId="4783" xr:uid="{00000000-0005-0000-0000-0000F5110000}"/>
    <cellStyle name="Comma 77 3 4 2" xfId="4784" xr:uid="{00000000-0005-0000-0000-0000F6110000}"/>
    <cellStyle name="Comma 77 3 5" xfId="4785" xr:uid="{00000000-0005-0000-0000-0000F7110000}"/>
    <cellStyle name="Comma 77 3 5 2" xfId="4786" xr:uid="{00000000-0005-0000-0000-0000F8110000}"/>
    <cellStyle name="Comma 77 3 6" xfId="4787" xr:uid="{00000000-0005-0000-0000-0000F9110000}"/>
    <cellStyle name="Comma 77 4" xfId="4788" xr:uid="{00000000-0005-0000-0000-0000FA110000}"/>
    <cellStyle name="Comma 77 4 2" xfId="4789" xr:uid="{00000000-0005-0000-0000-0000FB110000}"/>
    <cellStyle name="Comma 77 4 2 2" xfId="4790" xr:uid="{00000000-0005-0000-0000-0000FC110000}"/>
    <cellStyle name="Comma 77 4 3" xfId="4791" xr:uid="{00000000-0005-0000-0000-0000FD110000}"/>
    <cellStyle name="Comma 77 4 3 2" xfId="4792" xr:uid="{00000000-0005-0000-0000-0000FE110000}"/>
    <cellStyle name="Comma 77 4 4" xfId="4793" xr:uid="{00000000-0005-0000-0000-0000FF110000}"/>
    <cellStyle name="Comma 77 5" xfId="4794" xr:uid="{00000000-0005-0000-0000-000000120000}"/>
    <cellStyle name="Comma 77 5 2" xfId="4795" xr:uid="{00000000-0005-0000-0000-000001120000}"/>
    <cellStyle name="Comma 77 5 2 2" xfId="4796" xr:uid="{00000000-0005-0000-0000-000002120000}"/>
    <cellStyle name="Comma 77 5 3" xfId="4797" xr:uid="{00000000-0005-0000-0000-000003120000}"/>
    <cellStyle name="Comma 77 6" xfId="4798" xr:uid="{00000000-0005-0000-0000-000004120000}"/>
    <cellStyle name="Comma 77 6 2" xfId="4799" xr:uid="{00000000-0005-0000-0000-000005120000}"/>
    <cellStyle name="Comma 77 7" xfId="4800" xr:uid="{00000000-0005-0000-0000-000006120000}"/>
    <cellStyle name="Comma 77 7 2" xfId="4801" xr:uid="{00000000-0005-0000-0000-000007120000}"/>
    <cellStyle name="Comma 77 8" xfId="4802" xr:uid="{00000000-0005-0000-0000-000008120000}"/>
    <cellStyle name="Comma 78" xfId="4803" xr:uid="{00000000-0005-0000-0000-000009120000}"/>
    <cellStyle name="Comma 78 2" xfId="4804" xr:uid="{00000000-0005-0000-0000-00000A120000}"/>
    <cellStyle name="Comma 78 2 2" xfId="4805" xr:uid="{00000000-0005-0000-0000-00000B120000}"/>
    <cellStyle name="Comma 78 2 2 2" xfId="4806" xr:uid="{00000000-0005-0000-0000-00000C120000}"/>
    <cellStyle name="Comma 78 2 2 2 2" xfId="4807" xr:uid="{00000000-0005-0000-0000-00000D120000}"/>
    <cellStyle name="Comma 78 2 2 2 2 2" xfId="4808" xr:uid="{00000000-0005-0000-0000-00000E120000}"/>
    <cellStyle name="Comma 78 2 2 2 3" xfId="4809" xr:uid="{00000000-0005-0000-0000-00000F120000}"/>
    <cellStyle name="Comma 78 2 2 2 3 2" xfId="4810" xr:uid="{00000000-0005-0000-0000-000010120000}"/>
    <cellStyle name="Comma 78 2 2 2 4" xfId="4811" xr:uid="{00000000-0005-0000-0000-000011120000}"/>
    <cellStyle name="Comma 78 2 2 3" xfId="4812" xr:uid="{00000000-0005-0000-0000-000012120000}"/>
    <cellStyle name="Comma 78 2 2 3 2" xfId="4813" xr:uid="{00000000-0005-0000-0000-000013120000}"/>
    <cellStyle name="Comma 78 2 2 3 2 2" xfId="4814" xr:uid="{00000000-0005-0000-0000-000014120000}"/>
    <cellStyle name="Comma 78 2 2 3 3" xfId="4815" xr:uid="{00000000-0005-0000-0000-000015120000}"/>
    <cellStyle name="Comma 78 2 2 4" xfId="4816" xr:uid="{00000000-0005-0000-0000-000016120000}"/>
    <cellStyle name="Comma 78 2 2 4 2" xfId="4817" xr:uid="{00000000-0005-0000-0000-000017120000}"/>
    <cellStyle name="Comma 78 2 2 5" xfId="4818" xr:uid="{00000000-0005-0000-0000-000018120000}"/>
    <cellStyle name="Comma 78 2 2 5 2" xfId="4819" xr:uid="{00000000-0005-0000-0000-000019120000}"/>
    <cellStyle name="Comma 78 2 2 6" xfId="4820" xr:uid="{00000000-0005-0000-0000-00001A120000}"/>
    <cellStyle name="Comma 78 2 3" xfId="4821" xr:uid="{00000000-0005-0000-0000-00001B120000}"/>
    <cellStyle name="Comma 78 2 3 2" xfId="4822" xr:uid="{00000000-0005-0000-0000-00001C120000}"/>
    <cellStyle name="Comma 78 2 3 2 2" xfId="4823" xr:uid="{00000000-0005-0000-0000-00001D120000}"/>
    <cellStyle name="Comma 78 2 3 3" xfId="4824" xr:uid="{00000000-0005-0000-0000-00001E120000}"/>
    <cellStyle name="Comma 78 2 3 3 2" xfId="4825" xr:uid="{00000000-0005-0000-0000-00001F120000}"/>
    <cellStyle name="Comma 78 2 3 4" xfId="4826" xr:uid="{00000000-0005-0000-0000-000020120000}"/>
    <cellStyle name="Comma 78 2 4" xfId="4827" xr:uid="{00000000-0005-0000-0000-000021120000}"/>
    <cellStyle name="Comma 78 2 4 2" xfId="4828" xr:uid="{00000000-0005-0000-0000-000022120000}"/>
    <cellStyle name="Comma 78 2 4 2 2" xfId="4829" xr:uid="{00000000-0005-0000-0000-000023120000}"/>
    <cellStyle name="Comma 78 2 4 3" xfId="4830" xr:uid="{00000000-0005-0000-0000-000024120000}"/>
    <cellStyle name="Comma 78 2 5" xfId="4831" xr:uid="{00000000-0005-0000-0000-000025120000}"/>
    <cellStyle name="Comma 78 2 5 2" xfId="4832" xr:uid="{00000000-0005-0000-0000-000026120000}"/>
    <cellStyle name="Comma 78 2 6" xfId="4833" xr:uid="{00000000-0005-0000-0000-000027120000}"/>
    <cellStyle name="Comma 78 2 6 2" xfId="4834" xr:uid="{00000000-0005-0000-0000-000028120000}"/>
    <cellStyle name="Comma 78 2 7" xfId="4835" xr:uid="{00000000-0005-0000-0000-000029120000}"/>
    <cellStyle name="Comma 78 3" xfId="4836" xr:uid="{00000000-0005-0000-0000-00002A120000}"/>
    <cellStyle name="Comma 78 3 2" xfId="4837" xr:uid="{00000000-0005-0000-0000-00002B120000}"/>
    <cellStyle name="Comma 78 3 2 2" xfId="4838" xr:uid="{00000000-0005-0000-0000-00002C120000}"/>
    <cellStyle name="Comma 78 3 2 2 2" xfId="4839" xr:uid="{00000000-0005-0000-0000-00002D120000}"/>
    <cellStyle name="Comma 78 3 2 3" xfId="4840" xr:uid="{00000000-0005-0000-0000-00002E120000}"/>
    <cellStyle name="Comma 78 3 2 3 2" xfId="4841" xr:uid="{00000000-0005-0000-0000-00002F120000}"/>
    <cellStyle name="Comma 78 3 2 4" xfId="4842" xr:uid="{00000000-0005-0000-0000-000030120000}"/>
    <cellStyle name="Comma 78 3 3" xfId="4843" xr:uid="{00000000-0005-0000-0000-000031120000}"/>
    <cellStyle name="Comma 78 3 3 2" xfId="4844" xr:uid="{00000000-0005-0000-0000-000032120000}"/>
    <cellStyle name="Comma 78 3 3 2 2" xfId="4845" xr:uid="{00000000-0005-0000-0000-000033120000}"/>
    <cellStyle name="Comma 78 3 3 3" xfId="4846" xr:uid="{00000000-0005-0000-0000-000034120000}"/>
    <cellStyle name="Comma 78 3 4" xfId="4847" xr:uid="{00000000-0005-0000-0000-000035120000}"/>
    <cellStyle name="Comma 78 3 4 2" xfId="4848" xr:uid="{00000000-0005-0000-0000-000036120000}"/>
    <cellStyle name="Comma 78 3 5" xfId="4849" xr:uid="{00000000-0005-0000-0000-000037120000}"/>
    <cellStyle name="Comma 78 3 5 2" xfId="4850" xr:uid="{00000000-0005-0000-0000-000038120000}"/>
    <cellStyle name="Comma 78 3 6" xfId="4851" xr:uid="{00000000-0005-0000-0000-000039120000}"/>
    <cellStyle name="Comma 78 4" xfId="4852" xr:uid="{00000000-0005-0000-0000-00003A120000}"/>
    <cellStyle name="Comma 78 4 2" xfId="4853" xr:uid="{00000000-0005-0000-0000-00003B120000}"/>
    <cellStyle name="Comma 78 4 2 2" xfId="4854" xr:uid="{00000000-0005-0000-0000-00003C120000}"/>
    <cellStyle name="Comma 78 4 3" xfId="4855" xr:uid="{00000000-0005-0000-0000-00003D120000}"/>
    <cellStyle name="Comma 78 4 3 2" xfId="4856" xr:uid="{00000000-0005-0000-0000-00003E120000}"/>
    <cellStyle name="Comma 78 4 4" xfId="4857" xr:uid="{00000000-0005-0000-0000-00003F120000}"/>
    <cellStyle name="Comma 78 5" xfId="4858" xr:uid="{00000000-0005-0000-0000-000040120000}"/>
    <cellStyle name="Comma 78 5 2" xfId="4859" xr:uid="{00000000-0005-0000-0000-000041120000}"/>
    <cellStyle name="Comma 78 5 2 2" xfId="4860" xr:uid="{00000000-0005-0000-0000-000042120000}"/>
    <cellStyle name="Comma 78 5 3" xfId="4861" xr:uid="{00000000-0005-0000-0000-000043120000}"/>
    <cellStyle name="Comma 78 6" xfId="4862" xr:uid="{00000000-0005-0000-0000-000044120000}"/>
    <cellStyle name="Comma 78 6 2" xfId="4863" xr:uid="{00000000-0005-0000-0000-000045120000}"/>
    <cellStyle name="Comma 78 7" xfId="4864" xr:uid="{00000000-0005-0000-0000-000046120000}"/>
    <cellStyle name="Comma 78 7 2" xfId="4865" xr:uid="{00000000-0005-0000-0000-000047120000}"/>
    <cellStyle name="Comma 78 8" xfId="4866" xr:uid="{00000000-0005-0000-0000-000048120000}"/>
    <cellStyle name="Comma 79" xfId="4867" xr:uid="{00000000-0005-0000-0000-000049120000}"/>
    <cellStyle name="Comma 79 2" xfId="4868" xr:uid="{00000000-0005-0000-0000-00004A120000}"/>
    <cellStyle name="Comma 79 2 2" xfId="4869" xr:uid="{00000000-0005-0000-0000-00004B120000}"/>
    <cellStyle name="Comma 79 2 2 2" xfId="4870" xr:uid="{00000000-0005-0000-0000-00004C120000}"/>
    <cellStyle name="Comma 79 2 2 2 2" xfId="4871" xr:uid="{00000000-0005-0000-0000-00004D120000}"/>
    <cellStyle name="Comma 79 2 2 2 2 2" xfId="4872" xr:uid="{00000000-0005-0000-0000-00004E120000}"/>
    <cellStyle name="Comma 79 2 2 2 3" xfId="4873" xr:uid="{00000000-0005-0000-0000-00004F120000}"/>
    <cellStyle name="Comma 79 2 2 2 3 2" xfId="4874" xr:uid="{00000000-0005-0000-0000-000050120000}"/>
    <cellStyle name="Comma 79 2 2 2 4" xfId="4875" xr:uid="{00000000-0005-0000-0000-000051120000}"/>
    <cellStyle name="Comma 79 2 2 3" xfId="4876" xr:uid="{00000000-0005-0000-0000-000052120000}"/>
    <cellStyle name="Comma 79 2 2 3 2" xfId="4877" xr:uid="{00000000-0005-0000-0000-000053120000}"/>
    <cellStyle name="Comma 79 2 2 3 2 2" xfId="4878" xr:uid="{00000000-0005-0000-0000-000054120000}"/>
    <cellStyle name="Comma 79 2 2 3 3" xfId="4879" xr:uid="{00000000-0005-0000-0000-000055120000}"/>
    <cellStyle name="Comma 79 2 2 4" xfId="4880" xr:uid="{00000000-0005-0000-0000-000056120000}"/>
    <cellStyle name="Comma 79 2 2 4 2" xfId="4881" xr:uid="{00000000-0005-0000-0000-000057120000}"/>
    <cellStyle name="Comma 79 2 2 5" xfId="4882" xr:uid="{00000000-0005-0000-0000-000058120000}"/>
    <cellStyle name="Comma 79 2 2 5 2" xfId="4883" xr:uid="{00000000-0005-0000-0000-000059120000}"/>
    <cellStyle name="Comma 79 2 2 6" xfId="4884" xr:uid="{00000000-0005-0000-0000-00005A120000}"/>
    <cellStyle name="Comma 79 2 3" xfId="4885" xr:uid="{00000000-0005-0000-0000-00005B120000}"/>
    <cellStyle name="Comma 79 2 3 2" xfId="4886" xr:uid="{00000000-0005-0000-0000-00005C120000}"/>
    <cellStyle name="Comma 79 2 3 2 2" xfId="4887" xr:uid="{00000000-0005-0000-0000-00005D120000}"/>
    <cellStyle name="Comma 79 2 3 3" xfId="4888" xr:uid="{00000000-0005-0000-0000-00005E120000}"/>
    <cellStyle name="Comma 79 2 3 3 2" xfId="4889" xr:uid="{00000000-0005-0000-0000-00005F120000}"/>
    <cellStyle name="Comma 79 2 3 4" xfId="4890" xr:uid="{00000000-0005-0000-0000-000060120000}"/>
    <cellStyle name="Comma 79 2 4" xfId="4891" xr:uid="{00000000-0005-0000-0000-000061120000}"/>
    <cellStyle name="Comma 79 2 4 2" xfId="4892" xr:uid="{00000000-0005-0000-0000-000062120000}"/>
    <cellStyle name="Comma 79 2 4 2 2" xfId="4893" xr:uid="{00000000-0005-0000-0000-000063120000}"/>
    <cellStyle name="Comma 79 2 4 3" xfId="4894" xr:uid="{00000000-0005-0000-0000-000064120000}"/>
    <cellStyle name="Comma 79 2 5" xfId="4895" xr:uid="{00000000-0005-0000-0000-000065120000}"/>
    <cellStyle name="Comma 79 2 5 2" xfId="4896" xr:uid="{00000000-0005-0000-0000-000066120000}"/>
    <cellStyle name="Comma 79 2 6" xfId="4897" xr:uid="{00000000-0005-0000-0000-000067120000}"/>
    <cellStyle name="Comma 79 2 6 2" xfId="4898" xr:uid="{00000000-0005-0000-0000-000068120000}"/>
    <cellStyle name="Comma 79 2 7" xfId="4899" xr:uid="{00000000-0005-0000-0000-000069120000}"/>
    <cellStyle name="Comma 79 3" xfId="4900" xr:uid="{00000000-0005-0000-0000-00006A120000}"/>
    <cellStyle name="Comma 79 3 2" xfId="4901" xr:uid="{00000000-0005-0000-0000-00006B120000}"/>
    <cellStyle name="Comma 79 3 2 2" xfId="4902" xr:uid="{00000000-0005-0000-0000-00006C120000}"/>
    <cellStyle name="Comma 79 3 2 2 2" xfId="4903" xr:uid="{00000000-0005-0000-0000-00006D120000}"/>
    <cellStyle name="Comma 79 3 2 3" xfId="4904" xr:uid="{00000000-0005-0000-0000-00006E120000}"/>
    <cellStyle name="Comma 79 3 2 3 2" xfId="4905" xr:uid="{00000000-0005-0000-0000-00006F120000}"/>
    <cellStyle name="Comma 79 3 2 4" xfId="4906" xr:uid="{00000000-0005-0000-0000-000070120000}"/>
    <cellStyle name="Comma 79 3 3" xfId="4907" xr:uid="{00000000-0005-0000-0000-000071120000}"/>
    <cellStyle name="Comma 79 3 3 2" xfId="4908" xr:uid="{00000000-0005-0000-0000-000072120000}"/>
    <cellStyle name="Comma 79 3 3 2 2" xfId="4909" xr:uid="{00000000-0005-0000-0000-000073120000}"/>
    <cellStyle name="Comma 79 3 3 3" xfId="4910" xr:uid="{00000000-0005-0000-0000-000074120000}"/>
    <cellStyle name="Comma 79 3 4" xfId="4911" xr:uid="{00000000-0005-0000-0000-000075120000}"/>
    <cellStyle name="Comma 79 3 4 2" xfId="4912" xr:uid="{00000000-0005-0000-0000-000076120000}"/>
    <cellStyle name="Comma 79 3 5" xfId="4913" xr:uid="{00000000-0005-0000-0000-000077120000}"/>
    <cellStyle name="Comma 79 3 5 2" xfId="4914" xr:uid="{00000000-0005-0000-0000-000078120000}"/>
    <cellStyle name="Comma 79 3 6" xfId="4915" xr:uid="{00000000-0005-0000-0000-000079120000}"/>
    <cellStyle name="Comma 79 4" xfId="4916" xr:uid="{00000000-0005-0000-0000-00007A120000}"/>
    <cellStyle name="Comma 79 4 2" xfId="4917" xr:uid="{00000000-0005-0000-0000-00007B120000}"/>
    <cellStyle name="Comma 79 4 2 2" xfId="4918" xr:uid="{00000000-0005-0000-0000-00007C120000}"/>
    <cellStyle name="Comma 79 4 3" xfId="4919" xr:uid="{00000000-0005-0000-0000-00007D120000}"/>
    <cellStyle name="Comma 79 4 3 2" xfId="4920" xr:uid="{00000000-0005-0000-0000-00007E120000}"/>
    <cellStyle name="Comma 79 4 4" xfId="4921" xr:uid="{00000000-0005-0000-0000-00007F120000}"/>
    <cellStyle name="Comma 79 5" xfId="4922" xr:uid="{00000000-0005-0000-0000-000080120000}"/>
    <cellStyle name="Comma 79 5 2" xfId="4923" xr:uid="{00000000-0005-0000-0000-000081120000}"/>
    <cellStyle name="Comma 79 5 2 2" xfId="4924" xr:uid="{00000000-0005-0000-0000-000082120000}"/>
    <cellStyle name="Comma 79 5 3" xfId="4925" xr:uid="{00000000-0005-0000-0000-000083120000}"/>
    <cellStyle name="Comma 79 6" xfId="4926" xr:uid="{00000000-0005-0000-0000-000084120000}"/>
    <cellStyle name="Comma 79 6 2" xfId="4927" xr:uid="{00000000-0005-0000-0000-000085120000}"/>
    <cellStyle name="Comma 79 7" xfId="4928" xr:uid="{00000000-0005-0000-0000-000086120000}"/>
    <cellStyle name="Comma 79 7 2" xfId="4929" xr:uid="{00000000-0005-0000-0000-000087120000}"/>
    <cellStyle name="Comma 79 8" xfId="4930" xr:uid="{00000000-0005-0000-0000-000088120000}"/>
    <cellStyle name="Comma 8" xfId="80" xr:uid="{00000000-0005-0000-0000-000089120000}"/>
    <cellStyle name="Comma 8 2" xfId="4931" xr:uid="{00000000-0005-0000-0000-00008A120000}"/>
    <cellStyle name="Comma 8 2 2" xfId="4932" xr:uid="{00000000-0005-0000-0000-00008B120000}"/>
    <cellStyle name="Comma 8 2 2 2" xfId="4933" xr:uid="{00000000-0005-0000-0000-00008C120000}"/>
    <cellStyle name="Comma 8 3" xfId="4934" xr:uid="{00000000-0005-0000-0000-00008D120000}"/>
    <cellStyle name="Comma 8 3 2" xfId="4935" xr:uid="{00000000-0005-0000-0000-00008E120000}"/>
    <cellStyle name="Comma 8 4" xfId="4936" xr:uid="{00000000-0005-0000-0000-00008F120000}"/>
    <cellStyle name="Comma 8 4 2" xfId="4937" xr:uid="{00000000-0005-0000-0000-000090120000}"/>
    <cellStyle name="Comma 8 5" xfId="4938" xr:uid="{00000000-0005-0000-0000-000091120000}"/>
    <cellStyle name="Comma 8 5 2" xfId="4939" xr:uid="{00000000-0005-0000-0000-000092120000}"/>
    <cellStyle name="Comma 8 6" xfId="4940" xr:uid="{00000000-0005-0000-0000-000093120000}"/>
    <cellStyle name="Comma 8 7" xfId="4941" xr:uid="{00000000-0005-0000-0000-000094120000}"/>
    <cellStyle name="Comma 80" xfId="4942" xr:uid="{00000000-0005-0000-0000-000095120000}"/>
    <cellStyle name="Comma 80 2" xfId="4943" xr:uid="{00000000-0005-0000-0000-000096120000}"/>
    <cellStyle name="Comma 80 2 2" xfId="4944" xr:uid="{00000000-0005-0000-0000-000097120000}"/>
    <cellStyle name="Comma 80 2 2 2" xfId="4945" xr:uid="{00000000-0005-0000-0000-000098120000}"/>
    <cellStyle name="Comma 80 2 2 2 2" xfId="4946" xr:uid="{00000000-0005-0000-0000-000099120000}"/>
    <cellStyle name="Comma 80 2 2 2 2 2" xfId="4947" xr:uid="{00000000-0005-0000-0000-00009A120000}"/>
    <cellStyle name="Comma 80 2 2 2 3" xfId="4948" xr:uid="{00000000-0005-0000-0000-00009B120000}"/>
    <cellStyle name="Comma 80 2 2 2 3 2" xfId="4949" xr:uid="{00000000-0005-0000-0000-00009C120000}"/>
    <cellStyle name="Comma 80 2 2 2 4" xfId="4950" xr:uid="{00000000-0005-0000-0000-00009D120000}"/>
    <cellStyle name="Comma 80 2 2 3" xfId="4951" xr:uid="{00000000-0005-0000-0000-00009E120000}"/>
    <cellStyle name="Comma 80 2 2 3 2" xfId="4952" xr:uid="{00000000-0005-0000-0000-00009F120000}"/>
    <cellStyle name="Comma 80 2 2 3 2 2" xfId="4953" xr:uid="{00000000-0005-0000-0000-0000A0120000}"/>
    <cellStyle name="Comma 80 2 2 3 3" xfId="4954" xr:uid="{00000000-0005-0000-0000-0000A1120000}"/>
    <cellStyle name="Comma 80 2 2 4" xfId="4955" xr:uid="{00000000-0005-0000-0000-0000A2120000}"/>
    <cellStyle name="Comma 80 2 2 4 2" xfId="4956" xr:uid="{00000000-0005-0000-0000-0000A3120000}"/>
    <cellStyle name="Comma 80 2 2 5" xfId="4957" xr:uid="{00000000-0005-0000-0000-0000A4120000}"/>
    <cellStyle name="Comma 80 2 2 5 2" xfId="4958" xr:uid="{00000000-0005-0000-0000-0000A5120000}"/>
    <cellStyle name="Comma 80 2 2 6" xfId="4959" xr:uid="{00000000-0005-0000-0000-0000A6120000}"/>
    <cellStyle name="Comma 80 2 3" xfId="4960" xr:uid="{00000000-0005-0000-0000-0000A7120000}"/>
    <cellStyle name="Comma 80 2 3 2" xfId="4961" xr:uid="{00000000-0005-0000-0000-0000A8120000}"/>
    <cellStyle name="Comma 80 2 3 2 2" xfId="4962" xr:uid="{00000000-0005-0000-0000-0000A9120000}"/>
    <cellStyle name="Comma 80 2 3 3" xfId="4963" xr:uid="{00000000-0005-0000-0000-0000AA120000}"/>
    <cellStyle name="Comma 80 2 3 3 2" xfId="4964" xr:uid="{00000000-0005-0000-0000-0000AB120000}"/>
    <cellStyle name="Comma 80 2 3 4" xfId="4965" xr:uid="{00000000-0005-0000-0000-0000AC120000}"/>
    <cellStyle name="Comma 80 2 4" xfId="4966" xr:uid="{00000000-0005-0000-0000-0000AD120000}"/>
    <cellStyle name="Comma 80 2 4 2" xfId="4967" xr:uid="{00000000-0005-0000-0000-0000AE120000}"/>
    <cellStyle name="Comma 80 2 4 2 2" xfId="4968" xr:uid="{00000000-0005-0000-0000-0000AF120000}"/>
    <cellStyle name="Comma 80 2 4 3" xfId="4969" xr:uid="{00000000-0005-0000-0000-0000B0120000}"/>
    <cellStyle name="Comma 80 2 5" xfId="4970" xr:uid="{00000000-0005-0000-0000-0000B1120000}"/>
    <cellStyle name="Comma 80 2 5 2" xfId="4971" xr:uid="{00000000-0005-0000-0000-0000B2120000}"/>
    <cellStyle name="Comma 80 2 6" xfId="4972" xr:uid="{00000000-0005-0000-0000-0000B3120000}"/>
    <cellStyle name="Comma 80 2 6 2" xfId="4973" xr:uid="{00000000-0005-0000-0000-0000B4120000}"/>
    <cellStyle name="Comma 80 2 7" xfId="4974" xr:uid="{00000000-0005-0000-0000-0000B5120000}"/>
    <cellStyle name="Comma 80 3" xfId="4975" xr:uid="{00000000-0005-0000-0000-0000B6120000}"/>
    <cellStyle name="Comma 80 3 2" xfId="4976" xr:uid="{00000000-0005-0000-0000-0000B7120000}"/>
    <cellStyle name="Comma 80 3 2 2" xfId="4977" xr:uid="{00000000-0005-0000-0000-0000B8120000}"/>
    <cellStyle name="Comma 80 3 2 2 2" xfId="4978" xr:uid="{00000000-0005-0000-0000-0000B9120000}"/>
    <cellStyle name="Comma 80 3 2 3" xfId="4979" xr:uid="{00000000-0005-0000-0000-0000BA120000}"/>
    <cellStyle name="Comma 80 3 2 3 2" xfId="4980" xr:uid="{00000000-0005-0000-0000-0000BB120000}"/>
    <cellStyle name="Comma 80 3 2 4" xfId="4981" xr:uid="{00000000-0005-0000-0000-0000BC120000}"/>
    <cellStyle name="Comma 80 3 3" xfId="4982" xr:uid="{00000000-0005-0000-0000-0000BD120000}"/>
    <cellStyle name="Comma 80 3 3 2" xfId="4983" xr:uid="{00000000-0005-0000-0000-0000BE120000}"/>
    <cellStyle name="Comma 80 3 3 2 2" xfId="4984" xr:uid="{00000000-0005-0000-0000-0000BF120000}"/>
    <cellStyle name="Comma 80 3 3 3" xfId="4985" xr:uid="{00000000-0005-0000-0000-0000C0120000}"/>
    <cellStyle name="Comma 80 3 4" xfId="4986" xr:uid="{00000000-0005-0000-0000-0000C1120000}"/>
    <cellStyle name="Comma 80 3 4 2" xfId="4987" xr:uid="{00000000-0005-0000-0000-0000C2120000}"/>
    <cellStyle name="Comma 80 3 5" xfId="4988" xr:uid="{00000000-0005-0000-0000-0000C3120000}"/>
    <cellStyle name="Comma 80 3 5 2" xfId="4989" xr:uid="{00000000-0005-0000-0000-0000C4120000}"/>
    <cellStyle name="Comma 80 3 6" xfId="4990" xr:uid="{00000000-0005-0000-0000-0000C5120000}"/>
    <cellStyle name="Comma 80 4" xfId="4991" xr:uid="{00000000-0005-0000-0000-0000C6120000}"/>
    <cellStyle name="Comma 80 4 2" xfId="4992" xr:uid="{00000000-0005-0000-0000-0000C7120000}"/>
    <cellStyle name="Comma 80 4 2 2" xfId="4993" xr:uid="{00000000-0005-0000-0000-0000C8120000}"/>
    <cellStyle name="Comma 80 4 3" xfId="4994" xr:uid="{00000000-0005-0000-0000-0000C9120000}"/>
    <cellStyle name="Comma 80 4 3 2" xfId="4995" xr:uid="{00000000-0005-0000-0000-0000CA120000}"/>
    <cellStyle name="Comma 80 4 4" xfId="4996" xr:uid="{00000000-0005-0000-0000-0000CB120000}"/>
    <cellStyle name="Comma 80 5" xfId="4997" xr:uid="{00000000-0005-0000-0000-0000CC120000}"/>
    <cellStyle name="Comma 80 5 2" xfId="4998" xr:uid="{00000000-0005-0000-0000-0000CD120000}"/>
    <cellStyle name="Comma 80 5 2 2" xfId="4999" xr:uid="{00000000-0005-0000-0000-0000CE120000}"/>
    <cellStyle name="Comma 80 5 3" xfId="5000" xr:uid="{00000000-0005-0000-0000-0000CF120000}"/>
    <cellStyle name="Comma 80 6" xfId="5001" xr:uid="{00000000-0005-0000-0000-0000D0120000}"/>
    <cellStyle name="Comma 80 6 2" xfId="5002" xr:uid="{00000000-0005-0000-0000-0000D1120000}"/>
    <cellStyle name="Comma 80 7" xfId="5003" xr:uid="{00000000-0005-0000-0000-0000D2120000}"/>
    <cellStyle name="Comma 80 7 2" xfId="5004" xr:uid="{00000000-0005-0000-0000-0000D3120000}"/>
    <cellStyle name="Comma 80 8" xfId="5005" xr:uid="{00000000-0005-0000-0000-0000D4120000}"/>
    <cellStyle name="Comma 81" xfId="5006" xr:uid="{00000000-0005-0000-0000-0000D5120000}"/>
    <cellStyle name="Comma 81 2" xfId="5007" xr:uid="{00000000-0005-0000-0000-0000D6120000}"/>
    <cellStyle name="Comma 81 2 2" xfId="5008" xr:uid="{00000000-0005-0000-0000-0000D7120000}"/>
    <cellStyle name="Comma 81 2 2 2" xfId="5009" xr:uid="{00000000-0005-0000-0000-0000D8120000}"/>
    <cellStyle name="Comma 81 2 2 2 2" xfId="5010" xr:uid="{00000000-0005-0000-0000-0000D9120000}"/>
    <cellStyle name="Comma 81 2 2 2 2 2" xfId="5011" xr:uid="{00000000-0005-0000-0000-0000DA120000}"/>
    <cellStyle name="Comma 81 2 2 2 3" xfId="5012" xr:uid="{00000000-0005-0000-0000-0000DB120000}"/>
    <cellStyle name="Comma 81 2 2 2 3 2" xfId="5013" xr:uid="{00000000-0005-0000-0000-0000DC120000}"/>
    <cellStyle name="Comma 81 2 2 2 4" xfId="5014" xr:uid="{00000000-0005-0000-0000-0000DD120000}"/>
    <cellStyle name="Comma 81 2 2 3" xfId="5015" xr:uid="{00000000-0005-0000-0000-0000DE120000}"/>
    <cellStyle name="Comma 81 2 2 3 2" xfId="5016" xr:uid="{00000000-0005-0000-0000-0000DF120000}"/>
    <cellStyle name="Comma 81 2 2 3 2 2" xfId="5017" xr:uid="{00000000-0005-0000-0000-0000E0120000}"/>
    <cellStyle name="Comma 81 2 2 3 3" xfId="5018" xr:uid="{00000000-0005-0000-0000-0000E1120000}"/>
    <cellStyle name="Comma 81 2 2 4" xfId="5019" xr:uid="{00000000-0005-0000-0000-0000E2120000}"/>
    <cellStyle name="Comma 81 2 2 4 2" xfId="5020" xr:uid="{00000000-0005-0000-0000-0000E3120000}"/>
    <cellStyle name="Comma 81 2 2 5" xfId="5021" xr:uid="{00000000-0005-0000-0000-0000E4120000}"/>
    <cellStyle name="Comma 81 2 2 5 2" xfId="5022" xr:uid="{00000000-0005-0000-0000-0000E5120000}"/>
    <cellStyle name="Comma 81 2 2 6" xfId="5023" xr:uid="{00000000-0005-0000-0000-0000E6120000}"/>
    <cellStyle name="Comma 81 2 3" xfId="5024" xr:uid="{00000000-0005-0000-0000-0000E7120000}"/>
    <cellStyle name="Comma 81 2 3 2" xfId="5025" xr:uid="{00000000-0005-0000-0000-0000E8120000}"/>
    <cellStyle name="Comma 81 2 3 2 2" xfId="5026" xr:uid="{00000000-0005-0000-0000-0000E9120000}"/>
    <cellStyle name="Comma 81 2 3 3" xfId="5027" xr:uid="{00000000-0005-0000-0000-0000EA120000}"/>
    <cellStyle name="Comma 81 2 3 3 2" xfId="5028" xr:uid="{00000000-0005-0000-0000-0000EB120000}"/>
    <cellStyle name="Comma 81 2 3 4" xfId="5029" xr:uid="{00000000-0005-0000-0000-0000EC120000}"/>
    <cellStyle name="Comma 81 2 4" xfId="5030" xr:uid="{00000000-0005-0000-0000-0000ED120000}"/>
    <cellStyle name="Comma 81 2 4 2" xfId="5031" xr:uid="{00000000-0005-0000-0000-0000EE120000}"/>
    <cellStyle name="Comma 81 2 4 2 2" xfId="5032" xr:uid="{00000000-0005-0000-0000-0000EF120000}"/>
    <cellStyle name="Comma 81 2 4 3" xfId="5033" xr:uid="{00000000-0005-0000-0000-0000F0120000}"/>
    <cellStyle name="Comma 81 2 5" xfId="5034" xr:uid="{00000000-0005-0000-0000-0000F1120000}"/>
    <cellStyle name="Comma 81 2 5 2" xfId="5035" xr:uid="{00000000-0005-0000-0000-0000F2120000}"/>
    <cellStyle name="Comma 81 2 6" xfId="5036" xr:uid="{00000000-0005-0000-0000-0000F3120000}"/>
    <cellStyle name="Comma 81 2 6 2" xfId="5037" xr:uid="{00000000-0005-0000-0000-0000F4120000}"/>
    <cellStyle name="Comma 81 2 7" xfId="5038" xr:uid="{00000000-0005-0000-0000-0000F5120000}"/>
    <cellStyle name="Comma 81 3" xfId="5039" xr:uid="{00000000-0005-0000-0000-0000F6120000}"/>
    <cellStyle name="Comma 81 3 2" xfId="5040" xr:uid="{00000000-0005-0000-0000-0000F7120000}"/>
    <cellStyle name="Comma 81 3 2 2" xfId="5041" xr:uid="{00000000-0005-0000-0000-0000F8120000}"/>
    <cellStyle name="Comma 81 3 2 2 2" xfId="5042" xr:uid="{00000000-0005-0000-0000-0000F9120000}"/>
    <cellStyle name="Comma 81 3 2 3" xfId="5043" xr:uid="{00000000-0005-0000-0000-0000FA120000}"/>
    <cellStyle name="Comma 81 3 2 3 2" xfId="5044" xr:uid="{00000000-0005-0000-0000-0000FB120000}"/>
    <cellStyle name="Comma 81 3 2 4" xfId="5045" xr:uid="{00000000-0005-0000-0000-0000FC120000}"/>
    <cellStyle name="Comma 81 3 3" xfId="5046" xr:uid="{00000000-0005-0000-0000-0000FD120000}"/>
    <cellStyle name="Comma 81 3 3 2" xfId="5047" xr:uid="{00000000-0005-0000-0000-0000FE120000}"/>
    <cellStyle name="Comma 81 3 3 2 2" xfId="5048" xr:uid="{00000000-0005-0000-0000-0000FF120000}"/>
    <cellStyle name="Comma 81 3 3 3" xfId="5049" xr:uid="{00000000-0005-0000-0000-000000130000}"/>
    <cellStyle name="Comma 81 3 4" xfId="5050" xr:uid="{00000000-0005-0000-0000-000001130000}"/>
    <cellStyle name="Comma 81 3 4 2" xfId="5051" xr:uid="{00000000-0005-0000-0000-000002130000}"/>
    <cellStyle name="Comma 81 3 5" xfId="5052" xr:uid="{00000000-0005-0000-0000-000003130000}"/>
    <cellStyle name="Comma 81 3 5 2" xfId="5053" xr:uid="{00000000-0005-0000-0000-000004130000}"/>
    <cellStyle name="Comma 81 3 6" xfId="5054" xr:uid="{00000000-0005-0000-0000-000005130000}"/>
    <cellStyle name="Comma 81 4" xfId="5055" xr:uid="{00000000-0005-0000-0000-000006130000}"/>
    <cellStyle name="Comma 81 4 2" xfId="5056" xr:uid="{00000000-0005-0000-0000-000007130000}"/>
    <cellStyle name="Comma 81 4 2 2" xfId="5057" xr:uid="{00000000-0005-0000-0000-000008130000}"/>
    <cellStyle name="Comma 81 4 3" xfId="5058" xr:uid="{00000000-0005-0000-0000-000009130000}"/>
    <cellStyle name="Comma 81 4 3 2" xfId="5059" xr:uid="{00000000-0005-0000-0000-00000A130000}"/>
    <cellStyle name="Comma 81 4 4" xfId="5060" xr:uid="{00000000-0005-0000-0000-00000B130000}"/>
    <cellStyle name="Comma 81 5" xfId="5061" xr:uid="{00000000-0005-0000-0000-00000C130000}"/>
    <cellStyle name="Comma 81 5 2" xfId="5062" xr:uid="{00000000-0005-0000-0000-00000D130000}"/>
    <cellStyle name="Comma 81 5 2 2" xfId="5063" xr:uid="{00000000-0005-0000-0000-00000E130000}"/>
    <cellStyle name="Comma 81 5 3" xfId="5064" xr:uid="{00000000-0005-0000-0000-00000F130000}"/>
    <cellStyle name="Comma 81 6" xfId="5065" xr:uid="{00000000-0005-0000-0000-000010130000}"/>
    <cellStyle name="Comma 81 6 2" xfId="5066" xr:uid="{00000000-0005-0000-0000-000011130000}"/>
    <cellStyle name="Comma 81 7" xfId="5067" xr:uid="{00000000-0005-0000-0000-000012130000}"/>
    <cellStyle name="Comma 81 7 2" xfId="5068" xr:uid="{00000000-0005-0000-0000-000013130000}"/>
    <cellStyle name="Comma 81 8" xfId="5069" xr:uid="{00000000-0005-0000-0000-000014130000}"/>
    <cellStyle name="Comma 82" xfId="5070" xr:uid="{00000000-0005-0000-0000-000015130000}"/>
    <cellStyle name="Comma 82 2" xfId="5071" xr:uid="{00000000-0005-0000-0000-000016130000}"/>
    <cellStyle name="Comma 82 2 2" xfId="5072" xr:uid="{00000000-0005-0000-0000-000017130000}"/>
    <cellStyle name="Comma 82 2 2 2" xfId="5073" xr:uid="{00000000-0005-0000-0000-000018130000}"/>
    <cellStyle name="Comma 82 2 2 2 2" xfId="5074" xr:uid="{00000000-0005-0000-0000-000019130000}"/>
    <cellStyle name="Comma 82 2 2 2 2 2" xfId="5075" xr:uid="{00000000-0005-0000-0000-00001A130000}"/>
    <cellStyle name="Comma 82 2 2 2 3" xfId="5076" xr:uid="{00000000-0005-0000-0000-00001B130000}"/>
    <cellStyle name="Comma 82 2 2 2 3 2" xfId="5077" xr:uid="{00000000-0005-0000-0000-00001C130000}"/>
    <cellStyle name="Comma 82 2 2 2 4" xfId="5078" xr:uid="{00000000-0005-0000-0000-00001D130000}"/>
    <cellStyle name="Comma 82 2 2 3" xfId="5079" xr:uid="{00000000-0005-0000-0000-00001E130000}"/>
    <cellStyle name="Comma 82 2 2 3 2" xfId="5080" xr:uid="{00000000-0005-0000-0000-00001F130000}"/>
    <cellStyle name="Comma 82 2 2 3 2 2" xfId="5081" xr:uid="{00000000-0005-0000-0000-000020130000}"/>
    <cellStyle name="Comma 82 2 2 3 3" xfId="5082" xr:uid="{00000000-0005-0000-0000-000021130000}"/>
    <cellStyle name="Comma 82 2 2 4" xfId="5083" xr:uid="{00000000-0005-0000-0000-000022130000}"/>
    <cellStyle name="Comma 82 2 2 4 2" xfId="5084" xr:uid="{00000000-0005-0000-0000-000023130000}"/>
    <cellStyle name="Comma 82 2 2 5" xfId="5085" xr:uid="{00000000-0005-0000-0000-000024130000}"/>
    <cellStyle name="Comma 82 2 2 5 2" xfId="5086" xr:uid="{00000000-0005-0000-0000-000025130000}"/>
    <cellStyle name="Comma 82 2 2 6" xfId="5087" xr:uid="{00000000-0005-0000-0000-000026130000}"/>
    <cellStyle name="Comma 82 2 3" xfId="5088" xr:uid="{00000000-0005-0000-0000-000027130000}"/>
    <cellStyle name="Comma 82 2 3 2" xfId="5089" xr:uid="{00000000-0005-0000-0000-000028130000}"/>
    <cellStyle name="Comma 82 2 3 2 2" xfId="5090" xr:uid="{00000000-0005-0000-0000-000029130000}"/>
    <cellStyle name="Comma 82 2 3 3" xfId="5091" xr:uid="{00000000-0005-0000-0000-00002A130000}"/>
    <cellStyle name="Comma 82 2 3 3 2" xfId="5092" xr:uid="{00000000-0005-0000-0000-00002B130000}"/>
    <cellStyle name="Comma 82 2 3 4" xfId="5093" xr:uid="{00000000-0005-0000-0000-00002C130000}"/>
    <cellStyle name="Comma 82 2 4" xfId="5094" xr:uid="{00000000-0005-0000-0000-00002D130000}"/>
    <cellStyle name="Comma 82 2 4 2" xfId="5095" xr:uid="{00000000-0005-0000-0000-00002E130000}"/>
    <cellStyle name="Comma 82 2 4 2 2" xfId="5096" xr:uid="{00000000-0005-0000-0000-00002F130000}"/>
    <cellStyle name="Comma 82 2 4 3" xfId="5097" xr:uid="{00000000-0005-0000-0000-000030130000}"/>
    <cellStyle name="Comma 82 2 5" xfId="5098" xr:uid="{00000000-0005-0000-0000-000031130000}"/>
    <cellStyle name="Comma 82 2 5 2" xfId="5099" xr:uid="{00000000-0005-0000-0000-000032130000}"/>
    <cellStyle name="Comma 82 2 6" xfId="5100" xr:uid="{00000000-0005-0000-0000-000033130000}"/>
    <cellStyle name="Comma 82 2 6 2" xfId="5101" xr:uid="{00000000-0005-0000-0000-000034130000}"/>
    <cellStyle name="Comma 82 2 7" xfId="5102" xr:uid="{00000000-0005-0000-0000-000035130000}"/>
    <cellStyle name="Comma 82 3" xfId="5103" xr:uid="{00000000-0005-0000-0000-000036130000}"/>
    <cellStyle name="Comma 82 3 2" xfId="5104" xr:uid="{00000000-0005-0000-0000-000037130000}"/>
    <cellStyle name="Comma 82 3 2 2" xfId="5105" xr:uid="{00000000-0005-0000-0000-000038130000}"/>
    <cellStyle name="Comma 82 3 2 2 2" xfId="5106" xr:uid="{00000000-0005-0000-0000-000039130000}"/>
    <cellStyle name="Comma 82 3 2 3" xfId="5107" xr:uid="{00000000-0005-0000-0000-00003A130000}"/>
    <cellStyle name="Comma 82 3 2 3 2" xfId="5108" xr:uid="{00000000-0005-0000-0000-00003B130000}"/>
    <cellStyle name="Comma 82 3 2 4" xfId="5109" xr:uid="{00000000-0005-0000-0000-00003C130000}"/>
    <cellStyle name="Comma 82 3 3" xfId="5110" xr:uid="{00000000-0005-0000-0000-00003D130000}"/>
    <cellStyle name="Comma 82 3 3 2" xfId="5111" xr:uid="{00000000-0005-0000-0000-00003E130000}"/>
    <cellStyle name="Comma 82 3 3 2 2" xfId="5112" xr:uid="{00000000-0005-0000-0000-00003F130000}"/>
    <cellStyle name="Comma 82 3 3 3" xfId="5113" xr:uid="{00000000-0005-0000-0000-000040130000}"/>
    <cellStyle name="Comma 82 3 4" xfId="5114" xr:uid="{00000000-0005-0000-0000-000041130000}"/>
    <cellStyle name="Comma 82 3 4 2" xfId="5115" xr:uid="{00000000-0005-0000-0000-000042130000}"/>
    <cellStyle name="Comma 82 3 5" xfId="5116" xr:uid="{00000000-0005-0000-0000-000043130000}"/>
    <cellStyle name="Comma 82 3 5 2" xfId="5117" xr:uid="{00000000-0005-0000-0000-000044130000}"/>
    <cellStyle name="Comma 82 3 6" xfId="5118" xr:uid="{00000000-0005-0000-0000-000045130000}"/>
    <cellStyle name="Comma 82 4" xfId="5119" xr:uid="{00000000-0005-0000-0000-000046130000}"/>
    <cellStyle name="Comma 82 4 2" xfId="5120" xr:uid="{00000000-0005-0000-0000-000047130000}"/>
    <cellStyle name="Comma 82 4 2 2" xfId="5121" xr:uid="{00000000-0005-0000-0000-000048130000}"/>
    <cellStyle name="Comma 82 4 3" xfId="5122" xr:uid="{00000000-0005-0000-0000-000049130000}"/>
    <cellStyle name="Comma 82 4 3 2" xfId="5123" xr:uid="{00000000-0005-0000-0000-00004A130000}"/>
    <cellStyle name="Comma 82 4 4" xfId="5124" xr:uid="{00000000-0005-0000-0000-00004B130000}"/>
    <cellStyle name="Comma 82 5" xfId="5125" xr:uid="{00000000-0005-0000-0000-00004C130000}"/>
    <cellStyle name="Comma 82 5 2" xfId="5126" xr:uid="{00000000-0005-0000-0000-00004D130000}"/>
    <cellStyle name="Comma 82 5 2 2" xfId="5127" xr:uid="{00000000-0005-0000-0000-00004E130000}"/>
    <cellStyle name="Comma 82 5 3" xfId="5128" xr:uid="{00000000-0005-0000-0000-00004F130000}"/>
    <cellStyle name="Comma 82 6" xfId="5129" xr:uid="{00000000-0005-0000-0000-000050130000}"/>
    <cellStyle name="Comma 82 6 2" xfId="5130" xr:uid="{00000000-0005-0000-0000-000051130000}"/>
    <cellStyle name="Comma 82 7" xfId="5131" xr:uid="{00000000-0005-0000-0000-000052130000}"/>
    <cellStyle name="Comma 82 7 2" xfId="5132" xr:uid="{00000000-0005-0000-0000-000053130000}"/>
    <cellStyle name="Comma 82 8" xfId="5133" xr:uid="{00000000-0005-0000-0000-000054130000}"/>
    <cellStyle name="Comma 83" xfId="5134" xr:uid="{00000000-0005-0000-0000-000055130000}"/>
    <cellStyle name="Comma 83 2" xfId="5135" xr:uid="{00000000-0005-0000-0000-000056130000}"/>
    <cellStyle name="Comma 83 2 2" xfId="5136" xr:uid="{00000000-0005-0000-0000-000057130000}"/>
    <cellStyle name="Comma 83 2 2 2" xfId="5137" xr:uid="{00000000-0005-0000-0000-000058130000}"/>
    <cellStyle name="Comma 83 2 2 2 2" xfId="5138" xr:uid="{00000000-0005-0000-0000-000059130000}"/>
    <cellStyle name="Comma 83 2 2 2 2 2" xfId="5139" xr:uid="{00000000-0005-0000-0000-00005A130000}"/>
    <cellStyle name="Comma 83 2 2 2 3" xfId="5140" xr:uid="{00000000-0005-0000-0000-00005B130000}"/>
    <cellStyle name="Comma 83 2 2 2 3 2" xfId="5141" xr:uid="{00000000-0005-0000-0000-00005C130000}"/>
    <cellStyle name="Comma 83 2 2 2 4" xfId="5142" xr:uid="{00000000-0005-0000-0000-00005D130000}"/>
    <cellStyle name="Comma 83 2 2 3" xfId="5143" xr:uid="{00000000-0005-0000-0000-00005E130000}"/>
    <cellStyle name="Comma 83 2 2 3 2" xfId="5144" xr:uid="{00000000-0005-0000-0000-00005F130000}"/>
    <cellStyle name="Comma 83 2 2 3 2 2" xfId="5145" xr:uid="{00000000-0005-0000-0000-000060130000}"/>
    <cellStyle name="Comma 83 2 2 3 3" xfId="5146" xr:uid="{00000000-0005-0000-0000-000061130000}"/>
    <cellStyle name="Comma 83 2 2 4" xfId="5147" xr:uid="{00000000-0005-0000-0000-000062130000}"/>
    <cellStyle name="Comma 83 2 2 4 2" xfId="5148" xr:uid="{00000000-0005-0000-0000-000063130000}"/>
    <cellStyle name="Comma 83 2 2 5" xfId="5149" xr:uid="{00000000-0005-0000-0000-000064130000}"/>
    <cellStyle name="Comma 83 2 2 5 2" xfId="5150" xr:uid="{00000000-0005-0000-0000-000065130000}"/>
    <cellStyle name="Comma 83 2 2 6" xfId="5151" xr:uid="{00000000-0005-0000-0000-000066130000}"/>
    <cellStyle name="Comma 83 2 3" xfId="5152" xr:uid="{00000000-0005-0000-0000-000067130000}"/>
    <cellStyle name="Comma 83 2 3 2" xfId="5153" xr:uid="{00000000-0005-0000-0000-000068130000}"/>
    <cellStyle name="Comma 83 2 3 2 2" xfId="5154" xr:uid="{00000000-0005-0000-0000-000069130000}"/>
    <cellStyle name="Comma 83 2 3 3" xfId="5155" xr:uid="{00000000-0005-0000-0000-00006A130000}"/>
    <cellStyle name="Comma 83 2 3 3 2" xfId="5156" xr:uid="{00000000-0005-0000-0000-00006B130000}"/>
    <cellStyle name="Comma 83 2 3 4" xfId="5157" xr:uid="{00000000-0005-0000-0000-00006C130000}"/>
    <cellStyle name="Comma 83 2 4" xfId="5158" xr:uid="{00000000-0005-0000-0000-00006D130000}"/>
    <cellStyle name="Comma 83 2 4 2" xfId="5159" xr:uid="{00000000-0005-0000-0000-00006E130000}"/>
    <cellStyle name="Comma 83 2 4 2 2" xfId="5160" xr:uid="{00000000-0005-0000-0000-00006F130000}"/>
    <cellStyle name="Comma 83 2 4 3" xfId="5161" xr:uid="{00000000-0005-0000-0000-000070130000}"/>
    <cellStyle name="Comma 83 2 5" xfId="5162" xr:uid="{00000000-0005-0000-0000-000071130000}"/>
    <cellStyle name="Comma 83 2 5 2" xfId="5163" xr:uid="{00000000-0005-0000-0000-000072130000}"/>
    <cellStyle name="Comma 83 2 6" xfId="5164" xr:uid="{00000000-0005-0000-0000-000073130000}"/>
    <cellStyle name="Comma 83 2 6 2" xfId="5165" xr:uid="{00000000-0005-0000-0000-000074130000}"/>
    <cellStyle name="Comma 83 2 7" xfId="5166" xr:uid="{00000000-0005-0000-0000-000075130000}"/>
    <cellStyle name="Comma 83 3" xfId="5167" xr:uid="{00000000-0005-0000-0000-000076130000}"/>
    <cellStyle name="Comma 83 3 2" xfId="5168" xr:uid="{00000000-0005-0000-0000-000077130000}"/>
    <cellStyle name="Comma 83 3 2 2" xfId="5169" xr:uid="{00000000-0005-0000-0000-000078130000}"/>
    <cellStyle name="Comma 83 3 2 2 2" xfId="5170" xr:uid="{00000000-0005-0000-0000-000079130000}"/>
    <cellStyle name="Comma 83 3 2 3" xfId="5171" xr:uid="{00000000-0005-0000-0000-00007A130000}"/>
    <cellStyle name="Comma 83 3 2 3 2" xfId="5172" xr:uid="{00000000-0005-0000-0000-00007B130000}"/>
    <cellStyle name="Comma 83 3 2 4" xfId="5173" xr:uid="{00000000-0005-0000-0000-00007C130000}"/>
    <cellStyle name="Comma 83 3 3" xfId="5174" xr:uid="{00000000-0005-0000-0000-00007D130000}"/>
    <cellStyle name="Comma 83 3 3 2" xfId="5175" xr:uid="{00000000-0005-0000-0000-00007E130000}"/>
    <cellStyle name="Comma 83 3 3 2 2" xfId="5176" xr:uid="{00000000-0005-0000-0000-00007F130000}"/>
    <cellStyle name="Comma 83 3 3 3" xfId="5177" xr:uid="{00000000-0005-0000-0000-000080130000}"/>
    <cellStyle name="Comma 83 3 4" xfId="5178" xr:uid="{00000000-0005-0000-0000-000081130000}"/>
    <cellStyle name="Comma 83 3 4 2" xfId="5179" xr:uid="{00000000-0005-0000-0000-000082130000}"/>
    <cellStyle name="Comma 83 3 5" xfId="5180" xr:uid="{00000000-0005-0000-0000-000083130000}"/>
    <cellStyle name="Comma 83 3 5 2" xfId="5181" xr:uid="{00000000-0005-0000-0000-000084130000}"/>
    <cellStyle name="Comma 83 3 6" xfId="5182" xr:uid="{00000000-0005-0000-0000-000085130000}"/>
    <cellStyle name="Comma 83 4" xfId="5183" xr:uid="{00000000-0005-0000-0000-000086130000}"/>
    <cellStyle name="Comma 83 4 2" xfId="5184" xr:uid="{00000000-0005-0000-0000-000087130000}"/>
    <cellStyle name="Comma 83 4 2 2" xfId="5185" xr:uid="{00000000-0005-0000-0000-000088130000}"/>
    <cellStyle name="Comma 83 4 3" xfId="5186" xr:uid="{00000000-0005-0000-0000-000089130000}"/>
    <cellStyle name="Comma 83 4 3 2" xfId="5187" xr:uid="{00000000-0005-0000-0000-00008A130000}"/>
    <cellStyle name="Comma 83 4 4" xfId="5188" xr:uid="{00000000-0005-0000-0000-00008B130000}"/>
    <cellStyle name="Comma 83 5" xfId="5189" xr:uid="{00000000-0005-0000-0000-00008C130000}"/>
    <cellStyle name="Comma 83 5 2" xfId="5190" xr:uid="{00000000-0005-0000-0000-00008D130000}"/>
    <cellStyle name="Comma 83 5 2 2" xfId="5191" xr:uid="{00000000-0005-0000-0000-00008E130000}"/>
    <cellStyle name="Comma 83 5 3" xfId="5192" xr:uid="{00000000-0005-0000-0000-00008F130000}"/>
    <cellStyle name="Comma 83 6" xfId="5193" xr:uid="{00000000-0005-0000-0000-000090130000}"/>
    <cellStyle name="Comma 83 6 2" xfId="5194" xr:uid="{00000000-0005-0000-0000-000091130000}"/>
    <cellStyle name="Comma 83 7" xfId="5195" xr:uid="{00000000-0005-0000-0000-000092130000}"/>
    <cellStyle name="Comma 83 7 2" xfId="5196" xr:uid="{00000000-0005-0000-0000-000093130000}"/>
    <cellStyle name="Comma 83 8" xfId="5197" xr:uid="{00000000-0005-0000-0000-000094130000}"/>
    <cellStyle name="Comma 84" xfId="5198" xr:uid="{00000000-0005-0000-0000-000095130000}"/>
    <cellStyle name="Comma 84 2" xfId="5199" xr:uid="{00000000-0005-0000-0000-000096130000}"/>
    <cellStyle name="Comma 84 2 2" xfId="5200" xr:uid="{00000000-0005-0000-0000-000097130000}"/>
    <cellStyle name="Comma 84 2 2 2" xfId="5201" xr:uid="{00000000-0005-0000-0000-000098130000}"/>
    <cellStyle name="Comma 84 2 2 2 2" xfId="5202" xr:uid="{00000000-0005-0000-0000-000099130000}"/>
    <cellStyle name="Comma 84 2 2 2 2 2" xfId="5203" xr:uid="{00000000-0005-0000-0000-00009A130000}"/>
    <cellStyle name="Comma 84 2 2 2 3" xfId="5204" xr:uid="{00000000-0005-0000-0000-00009B130000}"/>
    <cellStyle name="Comma 84 2 2 2 3 2" xfId="5205" xr:uid="{00000000-0005-0000-0000-00009C130000}"/>
    <cellStyle name="Comma 84 2 2 2 4" xfId="5206" xr:uid="{00000000-0005-0000-0000-00009D130000}"/>
    <cellStyle name="Comma 84 2 2 3" xfId="5207" xr:uid="{00000000-0005-0000-0000-00009E130000}"/>
    <cellStyle name="Comma 84 2 2 3 2" xfId="5208" xr:uid="{00000000-0005-0000-0000-00009F130000}"/>
    <cellStyle name="Comma 84 2 2 3 2 2" xfId="5209" xr:uid="{00000000-0005-0000-0000-0000A0130000}"/>
    <cellStyle name="Comma 84 2 2 3 3" xfId="5210" xr:uid="{00000000-0005-0000-0000-0000A1130000}"/>
    <cellStyle name="Comma 84 2 2 4" xfId="5211" xr:uid="{00000000-0005-0000-0000-0000A2130000}"/>
    <cellStyle name="Comma 84 2 2 4 2" xfId="5212" xr:uid="{00000000-0005-0000-0000-0000A3130000}"/>
    <cellStyle name="Comma 84 2 2 5" xfId="5213" xr:uid="{00000000-0005-0000-0000-0000A4130000}"/>
    <cellStyle name="Comma 84 2 2 5 2" xfId="5214" xr:uid="{00000000-0005-0000-0000-0000A5130000}"/>
    <cellStyle name="Comma 84 2 2 6" xfId="5215" xr:uid="{00000000-0005-0000-0000-0000A6130000}"/>
    <cellStyle name="Comma 84 2 3" xfId="5216" xr:uid="{00000000-0005-0000-0000-0000A7130000}"/>
    <cellStyle name="Comma 84 2 3 2" xfId="5217" xr:uid="{00000000-0005-0000-0000-0000A8130000}"/>
    <cellStyle name="Comma 84 2 3 2 2" xfId="5218" xr:uid="{00000000-0005-0000-0000-0000A9130000}"/>
    <cellStyle name="Comma 84 2 3 3" xfId="5219" xr:uid="{00000000-0005-0000-0000-0000AA130000}"/>
    <cellStyle name="Comma 84 2 3 3 2" xfId="5220" xr:uid="{00000000-0005-0000-0000-0000AB130000}"/>
    <cellStyle name="Comma 84 2 3 4" xfId="5221" xr:uid="{00000000-0005-0000-0000-0000AC130000}"/>
    <cellStyle name="Comma 84 2 4" xfId="5222" xr:uid="{00000000-0005-0000-0000-0000AD130000}"/>
    <cellStyle name="Comma 84 2 4 2" xfId="5223" xr:uid="{00000000-0005-0000-0000-0000AE130000}"/>
    <cellStyle name="Comma 84 2 4 2 2" xfId="5224" xr:uid="{00000000-0005-0000-0000-0000AF130000}"/>
    <cellStyle name="Comma 84 2 4 3" xfId="5225" xr:uid="{00000000-0005-0000-0000-0000B0130000}"/>
    <cellStyle name="Comma 84 2 5" xfId="5226" xr:uid="{00000000-0005-0000-0000-0000B1130000}"/>
    <cellStyle name="Comma 84 2 5 2" xfId="5227" xr:uid="{00000000-0005-0000-0000-0000B2130000}"/>
    <cellStyle name="Comma 84 2 6" xfId="5228" xr:uid="{00000000-0005-0000-0000-0000B3130000}"/>
    <cellStyle name="Comma 84 2 6 2" xfId="5229" xr:uid="{00000000-0005-0000-0000-0000B4130000}"/>
    <cellStyle name="Comma 84 2 7" xfId="5230" xr:uid="{00000000-0005-0000-0000-0000B5130000}"/>
    <cellStyle name="Comma 84 3" xfId="5231" xr:uid="{00000000-0005-0000-0000-0000B6130000}"/>
    <cellStyle name="Comma 84 3 2" xfId="5232" xr:uid="{00000000-0005-0000-0000-0000B7130000}"/>
    <cellStyle name="Comma 84 3 2 2" xfId="5233" xr:uid="{00000000-0005-0000-0000-0000B8130000}"/>
    <cellStyle name="Comma 84 3 2 2 2" xfId="5234" xr:uid="{00000000-0005-0000-0000-0000B9130000}"/>
    <cellStyle name="Comma 84 3 2 3" xfId="5235" xr:uid="{00000000-0005-0000-0000-0000BA130000}"/>
    <cellStyle name="Comma 84 3 2 3 2" xfId="5236" xr:uid="{00000000-0005-0000-0000-0000BB130000}"/>
    <cellStyle name="Comma 84 3 2 4" xfId="5237" xr:uid="{00000000-0005-0000-0000-0000BC130000}"/>
    <cellStyle name="Comma 84 3 3" xfId="5238" xr:uid="{00000000-0005-0000-0000-0000BD130000}"/>
    <cellStyle name="Comma 84 3 3 2" xfId="5239" xr:uid="{00000000-0005-0000-0000-0000BE130000}"/>
    <cellStyle name="Comma 84 3 3 2 2" xfId="5240" xr:uid="{00000000-0005-0000-0000-0000BF130000}"/>
    <cellStyle name="Comma 84 3 3 3" xfId="5241" xr:uid="{00000000-0005-0000-0000-0000C0130000}"/>
    <cellStyle name="Comma 84 3 4" xfId="5242" xr:uid="{00000000-0005-0000-0000-0000C1130000}"/>
    <cellStyle name="Comma 84 3 4 2" xfId="5243" xr:uid="{00000000-0005-0000-0000-0000C2130000}"/>
    <cellStyle name="Comma 84 3 5" xfId="5244" xr:uid="{00000000-0005-0000-0000-0000C3130000}"/>
    <cellStyle name="Comma 84 3 5 2" xfId="5245" xr:uid="{00000000-0005-0000-0000-0000C4130000}"/>
    <cellStyle name="Comma 84 3 6" xfId="5246" xr:uid="{00000000-0005-0000-0000-0000C5130000}"/>
    <cellStyle name="Comma 84 4" xfId="5247" xr:uid="{00000000-0005-0000-0000-0000C6130000}"/>
    <cellStyle name="Comma 84 4 2" xfId="5248" xr:uid="{00000000-0005-0000-0000-0000C7130000}"/>
    <cellStyle name="Comma 84 4 2 2" xfId="5249" xr:uid="{00000000-0005-0000-0000-0000C8130000}"/>
    <cellStyle name="Comma 84 4 3" xfId="5250" xr:uid="{00000000-0005-0000-0000-0000C9130000}"/>
    <cellStyle name="Comma 84 4 3 2" xfId="5251" xr:uid="{00000000-0005-0000-0000-0000CA130000}"/>
    <cellStyle name="Comma 84 4 4" xfId="5252" xr:uid="{00000000-0005-0000-0000-0000CB130000}"/>
    <cellStyle name="Comma 84 5" xfId="5253" xr:uid="{00000000-0005-0000-0000-0000CC130000}"/>
    <cellStyle name="Comma 84 5 2" xfId="5254" xr:uid="{00000000-0005-0000-0000-0000CD130000}"/>
    <cellStyle name="Comma 84 5 2 2" xfId="5255" xr:uid="{00000000-0005-0000-0000-0000CE130000}"/>
    <cellStyle name="Comma 84 5 3" xfId="5256" xr:uid="{00000000-0005-0000-0000-0000CF130000}"/>
    <cellStyle name="Comma 84 6" xfId="5257" xr:uid="{00000000-0005-0000-0000-0000D0130000}"/>
    <cellStyle name="Comma 84 6 2" xfId="5258" xr:uid="{00000000-0005-0000-0000-0000D1130000}"/>
    <cellStyle name="Comma 84 7" xfId="5259" xr:uid="{00000000-0005-0000-0000-0000D2130000}"/>
    <cellStyle name="Comma 84 7 2" xfId="5260" xr:uid="{00000000-0005-0000-0000-0000D3130000}"/>
    <cellStyle name="Comma 84 8" xfId="5261" xr:uid="{00000000-0005-0000-0000-0000D4130000}"/>
    <cellStyle name="Comma 85" xfId="5262" xr:uid="{00000000-0005-0000-0000-0000D5130000}"/>
    <cellStyle name="Comma 85 2" xfId="5263" xr:uid="{00000000-0005-0000-0000-0000D6130000}"/>
    <cellStyle name="Comma 85 2 2" xfId="5264" xr:uid="{00000000-0005-0000-0000-0000D7130000}"/>
    <cellStyle name="Comma 85 2 2 2" xfId="5265" xr:uid="{00000000-0005-0000-0000-0000D8130000}"/>
    <cellStyle name="Comma 85 2 2 2 2" xfId="5266" xr:uid="{00000000-0005-0000-0000-0000D9130000}"/>
    <cellStyle name="Comma 85 2 2 2 2 2" xfId="5267" xr:uid="{00000000-0005-0000-0000-0000DA130000}"/>
    <cellStyle name="Comma 85 2 2 2 3" xfId="5268" xr:uid="{00000000-0005-0000-0000-0000DB130000}"/>
    <cellStyle name="Comma 85 2 2 2 3 2" xfId="5269" xr:uid="{00000000-0005-0000-0000-0000DC130000}"/>
    <cellStyle name="Comma 85 2 2 2 4" xfId="5270" xr:uid="{00000000-0005-0000-0000-0000DD130000}"/>
    <cellStyle name="Comma 85 2 2 3" xfId="5271" xr:uid="{00000000-0005-0000-0000-0000DE130000}"/>
    <cellStyle name="Comma 85 2 2 3 2" xfId="5272" xr:uid="{00000000-0005-0000-0000-0000DF130000}"/>
    <cellStyle name="Comma 85 2 2 3 2 2" xfId="5273" xr:uid="{00000000-0005-0000-0000-0000E0130000}"/>
    <cellStyle name="Comma 85 2 2 3 3" xfId="5274" xr:uid="{00000000-0005-0000-0000-0000E1130000}"/>
    <cellStyle name="Comma 85 2 2 4" xfId="5275" xr:uid="{00000000-0005-0000-0000-0000E2130000}"/>
    <cellStyle name="Comma 85 2 2 4 2" xfId="5276" xr:uid="{00000000-0005-0000-0000-0000E3130000}"/>
    <cellStyle name="Comma 85 2 2 5" xfId="5277" xr:uid="{00000000-0005-0000-0000-0000E4130000}"/>
    <cellStyle name="Comma 85 2 2 5 2" xfId="5278" xr:uid="{00000000-0005-0000-0000-0000E5130000}"/>
    <cellStyle name="Comma 85 2 2 6" xfId="5279" xr:uid="{00000000-0005-0000-0000-0000E6130000}"/>
    <cellStyle name="Comma 85 2 3" xfId="5280" xr:uid="{00000000-0005-0000-0000-0000E7130000}"/>
    <cellStyle name="Comma 85 2 3 2" xfId="5281" xr:uid="{00000000-0005-0000-0000-0000E8130000}"/>
    <cellStyle name="Comma 85 2 3 2 2" xfId="5282" xr:uid="{00000000-0005-0000-0000-0000E9130000}"/>
    <cellStyle name="Comma 85 2 3 3" xfId="5283" xr:uid="{00000000-0005-0000-0000-0000EA130000}"/>
    <cellStyle name="Comma 85 2 3 3 2" xfId="5284" xr:uid="{00000000-0005-0000-0000-0000EB130000}"/>
    <cellStyle name="Comma 85 2 3 4" xfId="5285" xr:uid="{00000000-0005-0000-0000-0000EC130000}"/>
    <cellStyle name="Comma 85 2 4" xfId="5286" xr:uid="{00000000-0005-0000-0000-0000ED130000}"/>
    <cellStyle name="Comma 85 2 4 2" xfId="5287" xr:uid="{00000000-0005-0000-0000-0000EE130000}"/>
    <cellStyle name="Comma 85 2 4 2 2" xfId="5288" xr:uid="{00000000-0005-0000-0000-0000EF130000}"/>
    <cellStyle name="Comma 85 2 4 3" xfId="5289" xr:uid="{00000000-0005-0000-0000-0000F0130000}"/>
    <cellStyle name="Comma 85 2 5" xfId="5290" xr:uid="{00000000-0005-0000-0000-0000F1130000}"/>
    <cellStyle name="Comma 85 2 5 2" xfId="5291" xr:uid="{00000000-0005-0000-0000-0000F2130000}"/>
    <cellStyle name="Comma 85 2 6" xfId="5292" xr:uid="{00000000-0005-0000-0000-0000F3130000}"/>
    <cellStyle name="Comma 85 2 6 2" xfId="5293" xr:uid="{00000000-0005-0000-0000-0000F4130000}"/>
    <cellStyle name="Comma 85 2 7" xfId="5294" xr:uid="{00000000-0005-0000-0000-0000F5130000}"/>
    <cellStyle name="Comma 85 3" xfId="5295" xr:uid="{00000000-0005-0000-0000-0000F6130000}"/>
    <cellStyle name="Comma 85 3 2" xfId="5296" xr:uid="{00000000-0005-0000-0000-0000F7130000}"/>
    <cellStyle name="Comma 85 3 2 2" xfId="5297" xr:uid="{00000000-0005-0000-0000-0000F8130000}"/>
    <cellStyle name="Comma 85 3 2 2 2" xfId="5298" xr:uid="{00000000-0005-0000-0000-0000F9130000}"/>
    <cellStyle name="Comma 85 3 2 3" xfId="5299" xr:uid="{00000000-0005-0000-0000-0000FA130000}"/>
    <cellStyle name="Comma 85 3 2 3 2" xfId="5300" xr:uid="{00000000-0005-0000-0000-0000FB130000}"/>
    <cellStyle name="Comma 85 3 2 4" xfId="5301" xr:uid="{00000000-0005-0000-0000-0000FC130000}"/>
    <cellStyle name="Comma 85 3 3" xfId="5302" xr:uid="{00000000-0005-0000-0000-0000FD130000}"/>
    <cellStyle name="Comma 85 3 3 2" xfId="5303" xr:uid="{00000000-0005-0000-0000-0000FE130000}"/>
    <cellStyle name="Comma 85 3 3 2 2" xfId="5304" xr:uid="{00000000-0005-0000-0000-0000FF130000}"/>
    <cellStyle name="Comma 85 3 3 3" xfId="5305" xr:uid="{00000000-0005-0000-0000-000000140000}"/>
    <cellStyle name="Comma 85 3 4" xfId="5306" xr:uid="{00000000-0005-0000-0000-000001140000}"/>
    <cellStyle name="Comma 85 3 4 2" xfId="5307" xr:uid="{00000000-0005-0000-0000-000002140000}"/>
    <cellStyle name="Comma 85 3 5" xfId="5308" xr:uid="{00000000-0005-0000-0000-000003140000}"/>
    <cellStyle name="Comma 85 3 5 2" xfId="5309" xr:uid="{00000000-0005-0000-0000-000004140000}"/>
    <cellStyle name="Comma 85 3 6" xfId="5310" xr:uid="{00000000-0005-0000-0000-000005140000}"/>
    <cellStyle name="Comma 85 4" xfId="5311" xr:uid="{00000000-0005-0000-0000-000006140000}"/>
    <cellStyle name="Comma 85 4 2" xfId="5312" xr:uid="{00000000-0005-0000-0000-000007140000}"/>
    <cellStyle name="Comma 85 4 2 2" xfId="5313" xr:uid="{00000000-0005-0000-0000-000008140000}"/>
    <cellStyle name="Comma 85 4 3" xfId="5314" xr:uid="{00000000-0005-0000-0000-000009140000}"/>
    <cellStyle name="Comma 85 4 3 2" xfId="5315" xr:uid="{00000000-0005-0000-0000-00000A140000}"/>
    <cellStyle name="Comma 85 4 4" xfId="5316" xr:uid="{00000000-0005-0000-0000-00000B140000}"/>
    <cellStyle name="Comma 85 5" xfId="5317" xr:uid="{00000000-0005-0000-0000-00000C140000}"/>
    <cellStyle name="Comma 85 5 2" xfId="5318" xr:uid="{00000000-0005-0000-0000-00000D140000}"/>
    <cellStyle name="Comma 85 5 2 2" xfId="5319" xr:uid="{00000000-0005-0000-0000-00000E140000}"/>
    <cellStyle name="Comma 85 5 3" xfId="5320" xr:uid="{00000000-0005-0000-0000-00000F140000}"/>
    <cellStyle name="Comma 85 6" xfId="5321" xr:uid="{00000000-0005-0000-0000-000010140000}"/>
    <cellStyle name="Comma 85 6 2" xfId="5322" xr:uid="{00000000-0005-0000-0000-000011140000}"/>
    <cellStyle name="Comma 85 7" xfId="5323" xr:uid="{00000000-0005-0000-0000-000012140000}"/>
    <cellStyle name="Comma 85 7 2" xfId="5324" xr:uid="{00000000-0005-0000-0000-000013140000}"/>
    <cellStyle name="Comma 85 8" xfId="5325" xr:uid="{00000000-0005-0000-0000-000014140000}"/>
    <cellStyle name="Comma 86" xfId="5326" xr:uid="{00000000-0005-0000-0000-000015140000}"/>
    <cellStyle name="Comma 86 2" xfId="5327" xr:uid="{00000000-0005-0000-0000-000016140000}"/>
    <cellStyle name="Comma 86 2 2" xfId="5328" xr:uid="{00000000-0005-0000-0000-000017140000}"/>
    <cellStyle name="Comma 86 2 2 2" xfId="5329" xr:uid="{00000000-0005-0000-0000-000018140000}"/>
    <cellStyle name="Comma 86 2 2 2 2" xfId="5330" xr:uid="{00000000-0005-0000-0000-000019140000}"/>
    <cellStyle name="Comma 86 2 2 2 2 2" xfId="5331" xr:uid="{00000000-0005-0000-0000-00001A140000}"/>
    <cellStyle name="Comma 86 2 2 2 3" xfId="5332" xr:uid="{00000000-0005-0000-0000-00001B140000}"/>
    <cellStyle name="Comma 86 2 2 2 3 2" xfId="5333" xr:uid="{00000000-0005-0000-0000-00001C140000}"/>
    <cellStyle name="Comma 86 2 2 2 4" xfId="5334" xr:uid="{00000000-0005-0000-0000-00001D140000}"/>
    <cellStyle name="Comma 86 2 2 3" xfId="5335" xr:uid="{00000000-0005-0000-0000-00001E140000}"/>
    <cellStyle name="Comma 86 2 2 3 2" xfId="5336" xr:uid="{00000000-0005-0000-0000-00001F140000}"/>
    <cellStyle name="Comma 86 2 2 3 2 2" xfId="5337" xr:uid="{00000000-0005-0000-0000-000020140000}"/>
    <cellStyle name="Comma 86 2 2 3 3" xfId="5338" xr:uid="{00000000-0005-0000-0000-000021140000}"/>
    <cellStyle name="Comma 86 2 2 4" xfId="5339" xr:uid="{00000000-0005-0000-0000-000022140000}"/>
    <cellStyle name="Comma 86 2 2 4 2" xfId="5340" xr:uid="{00000000-0005-0000-0000-000023140000}"/>
    <cellStyle name="Comma 86 2 2 5" xfId="5341" xr:uid="{00000000-0005-0000-0000-000024140000}"/>
    <cellStyle name="Comma 86 2 2 5 2" xfId="5342" xr:uid="{00000000-0005-0000-0000-000025140000}"/>
    <cellStyle name="Comma 86 2 2 6" xfId="5343" xr:uid="{00000000-0005-0000-0000-000026140000}"/>
    <cellStyle name="Comma 86 2 3" xfId="5344" xr:uid="{00000000-0005-0000-0000-000027140000}"/>
    <cellStyle name="Comma 86 2 3 2" xfId="5345" xr:uid="{00000000-0005-0000-0000-000028140000}"/>
    <cellStyle name="Comma 86 2 3 2 2" xfId="5346" xr:uid="{00000000-0005-0000-0000-000029140000}"/>
    <cellStyle name="Comma 86 2 3 3" xfId="5347" xr:uid="{00000000-0005-0000-0000-00002A140000}"/>
    <cellStyle name="Comma 86 2 3 3 2" xfId="5348" xr:uid="{00000000-0005-0000-0000-00002B140000}"/>
    <cellStyle name="Comma 86 2 3 4" xfId="5349" xr:uid="{00000000-0005-0000-0000-00002C140000}"/>
    <cellStyle name="Comma 86 2 4" xfId="5350" xr:uid="{00000000-0005-0000-0000-00002D140000}"/>
    <cellStyle name="Comma 86 2 4 2" xfId="5351" xr:uid="{00000000-0005-0000-0000-00002E140000}"/>
    <cellStyle name="Comma 86 2 4 2 2" xfId="5352" xr:uid="{00000000-0005-0000-0000-00002F140000}"/>
    <cellStyle name="Comma 86 2 4 3" xfId="5353" xr:uid="{00000000-0005-0000-0000-000030140000}"/>
    <cellStyle name="Comma 86 2 5" xfId="5354" xr:uid="{00000000-0005-0000-0000-000031140000}"/>
    <cellStyle name="Comma 86 2 5 2" xfId="5355" xr:uid="{00000000-0005-0000-0000-000032140000}"/>
    <cellStyle name="Comma 86 2 6" xfId="5356" xr:uid="{00000000-0005-0000-0000-000033140000}"/>
    <cellStyle name="Comma 86 2 6 2" xfId="5357" xr:uid="{00000000-0005-0000-0000-000034140000}"/>
    <cellStyle name="Comma 86 2 7" xfId="5358" xr:uid="{00000000-0005-0000-0000-000035140000}"/>
    <cellStyle name="Comma 86 3" xfId="5359" xr:uid="{00000000-0005-0000-0000-000036140000}"/>
    <cellStyle name="Comma 86 3 2" xfId="5360" xr:uid="{00000000-0005-0000-0000-000037140000}"/>
    <cellStyle name="Comma 86 3 2 2" xfId="5361" xr:uid="{00000000-0005-0000-0000-000038140000}"/>
    <cellStyle name="Comma 86 3 2 2 2" xfId="5362" xr:uid="{00000000-0005-0000-0000-000039140000}"/>
    <cellStyle name="Comma 86 3 2 3" xfId="5363" xr:uid="{00000000-0005-0000-0000-00003A140000}"/>
    <cellStyle name="Comma 86 3 2 3 2" xfId="5364" xr:uid="{00000000-0005-0000-0000-00003B140000}"/>
    <cellStyle name="Comma 86 3 2 4" xfId="5365" xr:uid="{00000000-0005-0000-0000-00003C140000}"/>
    <cellStyle name="Comma 86 3 3" xfId="5366" xr:uid="{00000000-0005-0000-0000-00003D140000}"/>
    <cellStyle name="Comma 86 3 3 2" xfId="5367" xr:uid="{00000000-0005-0000-0000-00003E140000}"/>
    <cellStyle name="Comma 86 3 3 2 2" xfId="5368" xr:uid="{00000000-0005-0000-0000-00003F140000}"/>
    <cellStyle name="Comma 86 3 3 3" xfId="5369" xr:uid="{00000000-0005-0000-0000-000040140000}"/>
    <cellStyle name="Comma 86 3 4" xfId="5370" xr:uid="{00000000-0005-0000-0000-000041140000}"/>
    <cellStyle name="Comma 86 3 4 2" xfId="5371" xr:uid="{00000000-0005-0000-0000-000042140000}"/>
    <cellStyle name="Comma 86 3 5" xfId="5372" xr:uid="{00000000-0005-0000-0000-000043140000}"/>
    <cellStyle name="Comma 86 3 5 2" xfId="5373" xr:uid="{00000000-0005-0000-0000-000044140000}"/>
    <cellStyle name="Comma 86 3 6" xfId="5374" xr:uid="{00000000-0005-0000-0000-000045140000}"/>
    <cellStyle name="Comma 86 4" xfId="5375" xr:uid="{00000000-0005-0000-0000-000046140000}"/>
    <cellStyle name="Comma 86 4 2" xfId="5376" xr:uid="{00000000-0005-0000-0000-000047140000}"/>
    <cellStyle name="Comma 86 4 2 2" xfId="5377" xr:uid="{00000000-0005-0000-0000-000048140000}"/>
    <cellStyle name="Comma 86 4 3" xfId="5378" xr:uid="{00000000-0005-0000-0000-000049140000}"/>
    <cellStyle name="Comma 86 4 3 2" xfId="5379" xr:uid="{00000000-0005-0000-0000-00004A140000}"/>
    <cellStyle name="Comma 86 4 4" xfId="5380" xr:uid="{00000000-0005-0000-0000-00004B140000}"/>
    <cellStyle name="Comma 86 5" xfId="5381" xr:uid="{00000000-0005-0000-0000-00004C140000}"/>
    <cellStyle name="Comma 86 5 2" xfId="5382" xr:uid="{00000000-0005-0000-0000-00004D140000}"/>
    <cellStyle name="Comma 86 5 2 2" xfId="5383" xr:uid="{00000000-0005-0000-0000-00004E140000}"/>
    <cellStyle name="Comma 86 5 3" xfId="5384" xr:uid="{00000000-0005-0000-0000-00004F140000}"/>
    <cellStyle name="Comma 86 6" xfId="5385" xr:uid="{00000000-0005-0000-0000-000050140000}"/>
    <cellStyle name="Comma 86 6 2" xfId="5386" xr:uid="{00000000-0005-0000-0000-000051140000}"/>
    <cellStyle name="Comma 86 7" xfId="5387" xr:uid="{00000000-0005-0000-0000-000052140000}"/>
    <cellStyle name="Comma 86 7 2" xfId="5388" xr:uid="{00000000-0005-0000-0000-000053140000}"/>
    <cellStyle name="Comma 86 8" xfId="5389" xr:uid="{00000000-0005-0000-0000-000054140000}"/>
    <cellStyle name="Comma 87" xfId="5390" xr:uid="{00000000-0005-0000-0000-000055140000}"/>
    <cellStyle name="Comma 87 2" xfId="5391" xr:uid="{00000000-0005-0000-0000-000056140000}"/>
    <cellStyle name="Comma 87 2 2" xfId="5392" xr:uid="{00000000-0005-0000-0000-000057140000}"/>
    <cellStyle name="Comma 87 2 2 2" xfId="5393" xr:uid="{00000000-0005-0000-0000-000058140000}"/>
    <cellStyle name="Comma 87 2 2 2 2" xfId="5394" xr:uid="{00000000-0005-0000-0000-000059140000}"/>
    <cellStyle name="Comma 87 2 2 2 2 2" xfId="5395" xr:uid="{00000000-0005-0000-0000-00005A140000}"/>
    <cellStyle name="Comma 87 2 2 2 3" xfId="5396" xr:uid="{00000000-0005-0000-0000-00005B140000}"/>
    <cellStyle name="Comma 87 2 2 2 3 2" xfId="5397" xr:uid="{00000000-0005-0000-0000-00005C140000}"/>
    <cellStyle name="Comma 87 2 2 2 4" xfId="5398" xr:uid="{00000000-0005-0000-0000-00005D140000}"/>
    <cellStyle name="Comma 87 2 2 3" xfId="5399" xr:uid="{00000000-0005-0000-0000-00005E140000}"/>
    <cellStyle name="Comma 87 2 2 3 2" xfId="5400" xr:uid="{00000000-0005-0000-0000-00005F140000}"/>
    <cellStyle name="Comma 87 2 2 3 2 2" xfId="5401" xr:uid="{00000000-0005-0000-0000-000060140000}"/>
    <cellStyle name="Comma 87 2 2 3 3" xfId="5402" xr:uid="{00000000-0005-0000-0000-000061140000}"/>
    <cellStyle name="Comma 87 2 2 4" xfId="5403" xr:uid="{00000000-0005-0000-0000-000062140000}"/>
    <cellStyle name="Comma 87 2 2 4 2" xfId="5404" xr:uid="{00000000-0005-0000-0000-000063140000}"/>
    <cellStyle name="Comma 87 2 2 5" xfId="5405" xr:uid="{00000000-0005-0000-0000-000064140000}"/>
    <cellStyle name="Comma 87 2 2 5 2" xfId="5406" xr:uid="{00000000-0005-0000-0000-000065140000}"/>
    <cellStyle name="Comma 87 2 2 6" xfId="5407" xr:uid="{00000000-0005-0000-0000-000066140000}"/>
    <cellStyle name="Comma 87 2 3" xfId="5408" xr:uid="{00000000-0005-0000-0000-000067140000}"/>
    <cellStyle name="Comma 87 2 3 2" xfId="5409" xr:uid="{00000000-0005-0000-0000-000068140000}"/>
    <cellStyle name="Comma 87 2 3 2 2" xfId="5410" xr:uid="{00000000-0005-0000-0000-000069140000}"/>
    <cellStyle name="Comma 87 2 3 3" xfId="5411" xr:uid="{00000000-0005-0000-0000-00006A140000}"/>
    <cellStyle name="Comma 87 2 3 3 2" xfId="5412" xr:uid="{00000000-0005-0000-0000-00006B140000}"/>
    <cellStyle name="Comma 87 2 3 4" xfId="5413" xr:uid="{00000000-0005-0000-0000-00006C140000}"/>
    <cellStyle name="Comma 87 2 4" xfId="5414" xr:uid="{00000000-0005-0000-0000-00006D140000}"/>
    <cellStyle name="Comma 87 2 4 2" xfId="5415" xr:uid="{00000000-0005-0000-0000-00006E140000}"/>
    <cellStyle name="Comma 87 2 4 2 2" xfId="5416" xr:uid="{00000000-0005-0000-0000-00006F140000}"/>
    <cellStyle name="Comma 87 2 4 3" xfId="5417" xr:uid="{00000000-0005-0000-0000-000070140000}"/>
    <cellStyle name="Comma 87 2 5" xfId="5418" xr:uid="{00000000-0005-0000-0000-000071140000}"/>
    <cellStyle name="Comma 87 2 5 2" xfId="5419" xr:uid="{00000000-0005-0000-0000-000072140000}"/>
    <cellStyle name="Comma 87 2 6" xfId="5420" xr:uid="{00000000-0005-0000-0000-000073140000}"/>
    <cellStyle name="Comma 87 2 6 2" xfId="5421" xr:uid="{00000000-0005-0000-0000-000074140000}"/>
    <cellStyle name="Comma 87 2 7" xfId="5422" xr:uid="{00000000-0005-0000-0000-000075140000}"/>
    <cellStyle name="Comma 87 3" xfId="5423" xr:uid="{00000000-0005-0000-0000-000076140000}"/>
    <cellStyle name="Comma 87 3 2" xfId="5424" xr:uid="{00000000-0005-0000-0000-000077140000}"/>
    <cellStyle name="Comma 87 3 2 2" xfId="5425" xr:uid="{00000000-0005-0000-0000-000078140000}"/>
    <cellStyle name="Comma 87 3 2 2 2" xfId="5426" xr:uid="{00000000-0005-0000-0000-000079140000}"/>
    <cellStyle name="Comma 87 3 2 3" xfId="5427" xr:uid="{00000000-0005-0000-0000-00007A140000}"/>
    <cellStyle name="Comma 87 3 2 3 2" xfId="5428" xr:uid="{00000000-0005-0000-0000-00007B140000}"/>
    <cellStyle name="Comma 87 3 2 4" xfId="5429" xr:uid="{00000000-0005-0000-0000-00007C140000}"/>
    <cellStyle name="Comma 87 3 3" xfId="5430" xr:uid="{00000000-0005-0000-0000-00007D140000}"/>
    <cellStyle name="Comma 87 3 3 2" xfId="5431" xr:uid="{00000000-0005-0000-0000-00007E140000}"/>
    <cellStyle name="Comma 87 3 3 2 2" xfId="5432" xr:uid="{00000000-0005-0000-0000-00007F140000}"/>
    <cellStyle name="Comma 87 3 3 3" xfId="5433" xr:uid="{00000000-0005-0000-0000-000080140000}"/>
    <cellStyle name="Comma 87 3 4" xfId="5434" xr:uid="{00000000-0005-0000-0000-000081140000}"/>
    <cellStyle name="Comma 87 3 4 2" xfId="5435" xr:uid="{00000000-0005-0000-0000-000082140000}"/>
    <cellStyle name="Comma 87 3 5" xfId="5436" xr:uid="{00000000-0005-0000-0000-000083140000}"/>
    <cellStyle name="Comma 87 3 5 2" xfId="5437" xr:uid="{00000000-0005-0000-0000-000084140000}"/>
    <cellStyle name="Comma 87 3 6" xfId="5438" xr:uid="{00000000-0005-0000-0000-000085140000}"/>
    <cellStyle name="Comma 87 4" xfId="5439" xr:uid="{00000000-0005-0000-0000-000086140000}"/>
    <cellStyle name="Comma 87 4 2" xfId="5440" xr:uid="{00000000-0005-0000-0000-000087140000}"/>
    <cellStyle name="Comma 87 4 2 2" xfId="5441" xr:uid="{00000000-0005-0000-0000-000088140000}"/>
    <cellStyle name="Comma 87 4 3" xfId="5442" xr:uid="{00000000-0005-0000-0000-000089140000}"/>
    <cellStyle name="Comma 87 4 3 2" xfId="5443" xr:uid="{00000000-0005-0000-0000-00008A140000}"/>
    <cellStyle name="Comma 87 4 4" xfId="5444" xr:uid="{00000000-0005-0000-0000-00008B140000}"/>
    <cellStyle name="Comma 87 5" xfId="5445" xr:uid="{00000000-0005-0000-0000-00008C140000}"/>
    <cellStyle name="Comma 87 5 2" xfId="5446" xr:uid="{00000000-0005-0000-0000-00008D140000}"/>
    <cellStyle name="Comma 87 5 2 2" xfId="5447" xr:uid="{00000000-0005-0000-0000-00008E140000}"/>
    <cellStyle name="Comma 87 5 3" xfId="5448" xr:uid="{00000000-0005-0000-0000-00008F140000}"/>
    <cellStyle name="Comma 87 6" xfId="5449" xr:uid="{00000000-0005-0000-0000-000090140000}"/>
    <cellStyle name="Comma 87 6 2" xfId="5450" xr:uid="{00000000-0005-0000-0000-000091140000}"/>
    <cellStyle name="Comma 87 7" xfId="5451" xr:uid="{00000000-0005-0000-0000-000092140000}"/>
    <cellStyle name="Comma 87 7 2" xfId="5452" xr:uid="{00000000-0005-0000-0000-000093140000}"/>
    <cellStyle name="Comma 87 8" xfId="5453" xr:uid="{00000000-0005-0000-0000-000094140000}"/>
    <cellStyle name="Comma 88" xfId="5454" xr:uid="{00000000-0005-0000-0000-000095140000}"/>
    <cellStyle name="Comma 88 2" xfId="5455" xr:uid="{00000000-0005-0000-0000-000096140000}"/>
    <cellStyle name="Comma 88 2 2" xfId="5456" xr:uid="{00000000-0005-0000-0000-000097140000}"/>
    <cellStyle name="Comma 88 2 2 2" xfId="5457" xr:uid="{00000000-0005-0000-0000-000098140000}"/>
    <cellStyle name="Comma 88 2 2 2 2" xfId="5458" xr:uid="{00000000-0005-0000-0000-000099140000}"/>
    <cellStyle name="Comma 88 2 2 2 2 2" xfId="5459" xr:uid="{00000000-0005-0000-0000-00009A140000}"/>
    <cellStyle name="Comma 88 2 2 2 3" xfId="5460" xr:uid="{00000000-0005-0000-0000-00009B140000}"/>
    <cellStyle name="Comma 88 2 2 2 3 2" xfId="5461" xr:uid="{00000000-0005-0000-0000-00009C140000}"/>
    <cellStyle name="Comma 88 2 2 2 4" xfId="5462" xr:uid="{00000000-0005-0000-0000-00009D140000}"/>
    <cellStyle name="Comma 88 2 2 3" xfId="5463" xr:uid="{00000000-0005-0000-0000-00009E140000}"/>
    <cellStyle name="Comma 88 2 2 3 2" xfId="5464" xr:uid="{00000000-0005-0000-0000-00009F140000}"/>
    <cellStyle name="Comma 88 2 2 3 2 2" xfId="5465" xr:uid="{00000000-0005-0000-0000-0000A0140000}"/>
    <cellStyle name="Comma 88 2 2 3 3" xfId="5466" xr:uid="{00000000-0005-0000-0000-0000A1140000}"/>
    <cellStyle name="Comma 88 2 2 4" xfId="5467" xr:uid="{00000000-0005-0000-0000-0000A2140000}"/>
    <cellStyle name="Comma 88 2 2 4 2" xfId="5468" xr:uid="{00000000-0005-0000-0000-0000A3140000}"/>
    <cellStyle name="Comma 88 2 2 5" xfId="5469" xr:uid="{00000000-0005-0000-0000-0000A4140000}"/>
    <cellStyle name="Comma 88 2 2 5 2" xfId="5470" xr:uid="{00000000-0005-0000-0000-0000A5140000}"/>
    <cellStyle name="Comma 88 2 2 6" xfId="5471" xr:uid="{00000000-0005-0000-0000-0000A6140000}"/>
    <cellStyle name="Comma 88 2 3" xfId="5472" xr:uid="{00000000-0005-0000-0000-0000A7140000}"/>
    <cellStyle name="Comma 88 2 3 2" xfId="5473" xr:uid="{00000000-0005-0000-0000-0000A8140000}"/>
    <cellStyle name="Comma 88 2 3 2 2" xfId="5474" xr:uid="{00000000-0005-0000-0000-0000A9140000}"/>
    <cellStyle name="Comma 88 2 3 3" xfId="5475" xr:uid="{00000000-0005-0000-0000-0000AA140000}"/>
    <cellStyle name="Comma 88 2 3 3 2" xfId="5476" xr:uid="{00000000-0005-0000-0000-0000AB140000}"/>
    <cellStyle name="Comma 88 2 3 4" xfId="5477" xr:uid="{00000000-0005-0000-0000-0000AC140000}"/>
    <cellStyle name="Comma 88 2 4" xfId="5478" xr:uid="{00000000-0005-0000-0000-0000AD140000}"/>
    <cellStyle name="Comma 88 2 4 2" xfId="5479" xr:uid="{00000000-0005-0000-0000-0000AE140000}"/>
    <cellStyle name="Comma 88 2 4 2 2" xfId="5480" xr:uid="{00000000-0005-0000-0000-0000AF140000}"/>
    <cellStyle name="Comma 88 2 4 3" xfId="5481" xr:uid="{00000000-0005-0000-0000-0000B0140000}"/>
    <cellStyle name="Comma 88 2 5" xfId="5482" xr:uid="{00000000-0005-0000-0000-0000B1140000}"/>
    <cellStyle name="Comma 88 2 5 2" xfId="5483" xr:uid="{00000000-0005-0000-0000-0000B2140000}"/>
    <cellStyle name="Comma 88 2 6" xfId="5484" xr:uid="{00000000-0005-0000-0000-0000B3140000}"/>
    <cellStyle name="Comma 88 2 6 2" xfId="5485" xr:uid="{00000000-0005-0000-0000-0000B4140000}"/>
    <cellStyle name="Comma 88 2 7" xfId="5486" xr:uid="{00000000-0005-0000-0000-0000B5140000}"/>
    <cellStyle name="Comma 88 3" xfId="5487" xr:uid="{00000000-0005-0000-0000-0000B6140000}"/>
    <cellStyle name="Comma 88 3 2" xfId="5488" xr:uid="{00000000-0005-0000-0000-0000B7140000}"/>
    <cellStyle name="Comma 88 3 2 2" xfId="5489" xr:uid="{00000000-0005-0000-0000-0000B8140000}"/>
    <cellStyle name="Comma 88 3 2 2 2" xfId="5490" xr:uid="{00000000-0005-0000-0000-0000B9140000}"/>
    <cellStyle name="Comma 88 3 2 3" xfId="5491" xr:uid="{00000000-0005-0000-0000-0000BA140000}"/>
    <cellStyle name="Comma 88 3 2 3 2" xfId="5492" xr:uid="{00000000-0005-0000-0000-0000BB140000}"/>
    <cellStyle name="Comma 88 3 2 4" xfId="5493" xr:uid="{00000000-0005-0000-0000-0000BC140000}"/>
    <cellStyle name="Comma 88 3 3" xfId="5494" xr:uid="{00000000-0005-0000-0000-0000BD140000}"/>
    <cellStyle name="Comma 88 3 3 2" xfId="5495" xr:uid="{00000000-0005-0000-0000-0000BE140000}"/>
    <cellStyle name="Comma 88 3 3 2 2" xfId="5496" xr:uid="{00000000-0005-0000-0000-0000BF140000}"/>
    <cellStyle name="Comma 88 3 3 3" xfId="5497" xr:uid="{00000000-0005-0000-0000-0000C0140000}"/>
    <cellStyle name="Comma 88 3 4" xfId="5498" xr:uid="{00000000-0005-0000-0000-0000C1140000}"/>
    <cellStyle name="Comma 88 3 4 2" xfId="5499" xr:uid="{00000000-0005-0000-0000-0000C2140000}"/>
    <cellStyle name="Comma 88 3 5" xfId="5500" xr:uid="{00000000-0005-0000-0000-0000C3140000}"/>
    <cellStyle name="Comma 88 3 5 2" xfId="5501" xr:uid="{00000000-0005-0000-0000-0000C4140000}"/>
    <cellStyle name="Comma 88 3 6" xfId="5502" xr:uid="{00000000-0005-0000-0000-0000C5140000}"/>
    <cellStyle name="Comma 88 4" xfId="5503" xr:uid="{00000000-0005-0000-0000-0000C6140000}"/>
    <cellStyle name="Comma 88 4 2" xfId="5504" xr:uid="{00000000-0005-0000-0000-0000C7140000}"/>
    <cellStyle name="Comma 88 4 2 2" xfId="5505" xr:uid="{00000000-0005-0000-0000-0000C8140000}"/>
    <cellStyle name="Comma 88 4 3" xfId="5506" xr:uid="{00000000-0005-0000-0000-0000C9140000}"/>
    <cellStyle name="Comma 88 4 3 2" xfId="5507" xr:uid="{00000000-0005-0000-0000-0000CA140000}"/>
    <cellStyle name="Comma 88 4 4" xfId="5508" xr:uid="{00000000-0005-0000-0000-0000CB140000}"/>
    <cellStyle name="Comma 88 5" xfId="5509" xr:uid="{00000000-0005-0000-0000-0000CC140000}"/>
    <cellStyle name="Comma 88 5 2" xfId="5510" xr:uid="{00000000-0005-0000-0000-0000CD140000}"/>
    <cellStyle name="Comma 88 5 2 2" xfId="5511" xr:uid="{00000000-0005-0000-0000-0000CE140000}"/>
    <cellStyle name="Comma 88 5 3" xfId="5512" xr:uid="{00000000-0005-0000-0000-0000CF140000}"/>
    <cellStyle name="Comma 88 6" xfId="5513" xr:uid="{00000000-0005-0000-0000-0000D0140000}"/>
    <cellStyle name="Comma 88 6 2" xfId="5514" xr:uid="{00000000-0005-0000-0000-0000D1140000}"/>
    <cellStyle name="Comma 88 7" xfId="5515" xr:uid="{00000000-0005-0000-0000-0000D2140000}"/>
    <cellStyle name="Comma 88 7 2" xfId="5516" xr:uid="{00000000-0005-0000-0000-0000D3140000}"/>
    <cellStyle name="Comma 88 8" xfId="5517" xr:uid="{00000000-0005-0000-0000-0000D4140000}"/>
    <cellStyle name="Comma 89" xfId="5518" xr:uid="{00000000-0005-0000-0000-0000D5140000}"/>
    <cellStyle name="Comma 89 2" xfId="5519" xr:uid="{00000000-0005-0000-0000-0000D6140000}"/>
    <cellStyle name="Comma 89 2 2" xfId="5520" xr:uid="{00000000-0005-0000-0000-0000D7140000}"/>
    <cellStyle name="Comma 89 2 2 2" xfId="5521" xr:uid="{00000000-0005-0000-0000-0000D8140000}"/>
    <cellStyle name="Comma 89 2 2 2 2" xfId="5522" xr:uid="{00000000-0005-0000-0000-0000D9140000}"/>
    <cellStyle name="Comma 89 2 2 2 2 2" xfId="5523" xr:uid="{00000000-0005-0000-0000-0000DA140000}"/>
    <cellStyle name="Comma 89 2 2 2 3" xfId="5524" xr:uid="{00000000-0005-0000-0000-0000DB140000}"/>
    <cellStyle name="Comma 89 2 2 2 3 2" xfId="5525" xr:uid="{00000000-0005-0000-0000-0000DC140000}"/>
    <cellStyle name="Comma 89 2 2 2 4" xfId="5526" xr:uid="{00000000-0005-0000-0000-0000DD140000}"/>
    <cellStyle name="Comma 89 2 2 3" xfId="5527" xr:uid="{00000000-0005-0000-0000-0000DE140000}"/>
    <cellStyle name="Comma 89 2 2 3 2" xfId="5528" xr:uid="{00000000-0005-0000-0000-0000DF140000}"/>
    <cellStyle name="Comma 89 2 2 3 2 2" xfId="5529" xr:uid="{00000000-0005-0000-0000-0000E0140000}"/>
    <cellStyle name="Comma 89 2 2 3 3" xfId="5530" xr:uid="{00000000-0005-0000-0000-0000E1140000}"/>
    <cellStyle name="Comma 89 2 2 4" xfId="5531" xr:uid="{00000000-0005-0000-0000-0000E2140000}"/>
    <cellStyle name="Comma 89 2 2 4 2" xfId="5532" xr:uid="{00000000-0005-0000-0000-0000E3140000}"/>
    <cellStyle name="Comma 89 2 2 5" xfId="5533" xr:uid="{00000000-0005-0000-0000-0000E4140000}"/>
    <cellStyle name="Comma 89 2 2 5 2" xfId="5534" xr:uid="{00000000-0005-0000-0000-0000E5140000}"/>
    <cellStyle name="Comma 89 2 2 6" xfId="5535" xr:uid="{00000000-0005-0000-0000-0000E6140000}"/>
    <cellStyle name="Comma 89 2 3" xfId="5536" xr:uid="{00000000-0005-0000-0000-0000E7140000}"/>
    <cellStyle name="Comma 89 2 3 2" xfId="5537" xr:uid="{00000000-0005-0000-0000-0000E8140000}"/>
    <cellStyle name="Comma 89 2 3 2 2" xfId="5538" xr:uid="{00000000-0005-0000-0000-0000E9140000}"/>
    <cellStyle name="Comma 89 2 3 3" xfId="5539" xr:uid="{00000000-0005-0000-0000-0000EA140000}"/>
    <cellStyle name="Comma 89 2 3 3 2" xfId="5540" xr:uid="{00000000-0005-0000-0000-0000EB140000}"/>
    <cellStyle name="Comma 89 2 3 4" xfId="5541" xr:uid="{00000000-0005-0000-0000-0000EC140000}"/>
    <cellStyle name="Comma 89 2 4" xfId="5542" xr:uid="{00000000-0005-0000-0000-0000ED140000}"/>
    <cellStyle name="Comma 89 2 4 2" xfId="5543" xr:uid="{00000000-0005-0000-0000-0000EE140000}"/>
    <cellStyle name="Comma 89 2 4 2 2" xfId="5544" xr:uid="{00000000-0005-0000-0000-0000EF140000}"/>
    <cellStyle name="Comma 89 2 4 3" xfId="5545" xr:uid="{00000000-0005-0000-0000-0000F0140000}"/>
    <cellStyle name="Comma 89 2 5" xfId="5546" xr:uid="{00000000-0005-0000-0000-0000F1140000}"/>
    <cellStyle name="Comma 89 2 5 2" xfId="5547" xr:uid="{00000000-0005-0000-0000-0000F2140000}"/>
    <cellStyle name="Comma 89 2 6" xfId="5548" xr:uid="{00000000-0005-0000-0000-0000F3140000}"/>
    <cellStyle name="Comma 89 2 6 2" xfId="5549" xr:uid="{00000000-0005-0000-0000-0000F4140000}"/>
    <cellStyle name="Comma 89 2 7" xfId="5550" xr:uid="{00000000-0005-0000-0000-0000F5140000}"/>
    <cellStyle name="Comma 89 3" xfId="5551" xr:uid="{00000000-0005-0000-0000-0000F6140000}"/>
    <cellStyle name="Comma 89 3 2" xfId="5552" xr:uid="{00000000-0005-0000-0000-0000F7140000}"/>
    <cellStyle name="Comma 89 3 2 2" xfId="5553" xr:uid="{00000000-0005-0000-0000-0000F8140000}"/>
    <cellStyle name="Comma 89 3 2 2 2" xfId="5554" xr:uid="{00000000-0005-0000-0000-0000F9140000}"/>
    <cellStyle name="Comma 89 3 2 3" xfId="5555" xr:uid="{00000000-0005-0000-0000-0000FA140000}"/>
    <cellStyle name="Comma 89 3 2 3 2" xfId="5556" xr:uid="{00000000-0005-0000-0000-0000FB140000}"/>
    <cellStyle name="Comma 89 3 2 4" xfId="5557" xr:uid="{00000000-0005-0000-0000-0000FC140000}"/>
    <cellStyle name="Comma 89 3 3" xfId="5558" xr:uid="{00000000-0005-0000-0000-0000FD140000}"/>
    <cellStyle name="Comma 89 3 3 2" xfId="5559" xr:uid="{00000000-0005-0000-0000-0000FE140000}"/>
    <cellStyle name="Comma 89 3 3 2 2" xfId="5560" xr:uid="{00000000-0005-0000-0000-0000FF140000}"/>
    <cellStyle name="Comma 89 3 3 3" xfId="5561" xr:uid="{00000000-0005-0000-0000-000000150000}"/>
    <cellStyle name="Comma 89 3 4" xfId="5562" xr:uid="{00000000-0005-0000-0000-000001150000}"/>
    <cellStyle name="Comma 89 3 4 2" xfId="5563" xr:uid="{00000000-0005-0000-0000-000002150000}"/>
    <cellStyle name="Comma 89 3 5" xfId="5564" xr:uid="{00000000-0005-0000-0000-000003150000}"/>
    <cellStyle name="Comma 89 3 5 2" xfId="5565" xr:uid="{00000000-0005-0000-0000-000004150000}"/>
    <cellStyle name="Comma 89 3 6" xfId="5566" xr:uid="{00000000-0005-0000-0000-000005150000}"/>
    <cellStyle name="Comma 89 4" xfId="5567" xr:uid="{00000000-0005-0000-0000-000006150000}"/>
    <cellStyle name="Comma 89 4 2" xfId="5568" xr:uid="{00000000-0005-0000-0000-000007150000}"/>
    <cellStyle name="Comma 89 4 2 2" xfId="5569" xr:uid="{00000000-0005-0000-0000-000008150000}"/>
    <cellStyle name="Comma 89 4 3" xfId="5570" xr:uid="{00000000-0005-0000-0000-000009150000}"/>
    <cellStyle name="Comma 89 4 3 2" xfId="5571" xr:uid="{00000000-0005-0000-0000-00000A150000}"/>
    <cellStyle name="Comma 89 4 4" xfId="5572" xr:uid="{00000000-0005-0000-0000-00000B150000}"/>
    <cellStyle name="Comma 89 5" xfId="5573" xr:uid="{00000000-0005-0000-0000-00000C150000}"/>
    <cellStyle name="Comma 89 5 2" xfId="5574" xr:uid="{00000000-0005-0000-0000-00000D150000}"/>
    <cellStyle name="Comma 89 5 2 2" xfId="5575" xr:uid="{00000000-0005-0000-0000-00000E150000}"/>
    <cellStyle name="Comma 89 5 3" xfId="5576" xr:uid="{00000000-0005-0000-0000-00000F150000}"/>
    <cellStyle name="Comma 89 6" xfId="5577" xr:uid="{00000000-0005-0000-0000-000010150000}"/>
    <cellStyle name="Comma 89 6 2" xfId="5578" xr:uid="{00000000-0005-0000-0000-000011150000}"/>
    <cellStyle name="Comma 89 7" xfId="5579" xr:uid="{00000000-0005-0000-0000-000012150000}"/>
    <cellStyle name="Comma 89 7 2" xfId="5580" xr:uid="{00000000-0005-0000-0000-000013150000}"/>
    <cellStyle name="Comma 89 8" xfId="5581" xr:uid="{00000000-0005-0000-0000-000014150000}"/>
    <cellStyle name="Comma 9" xfId="81" xr:uid="{00000000-0005-0000-0000-000015150000}"/>
    <cellStyle name="Comma 9 2" xfId="5582" xr:uid="{00000000-0005-0000-0000-000016150000}"/>
    <cellStyle name="Comma 9 2 2" xfId="5583" xr:uid="{00000000-0005-0000-0000-000017150000}"/>
    <cellStyle name="Comma 9 2 2 2" xfId="5584" xr:uid="{00000000-0005-0000-0000-000018150000}"/>
    <cellStyle name="Comma 9 2 2 2 2" xfId="5585" xr:uid="{00000000-0005-0000-0000-000019150000}"/>
    <cellStyle name="Comma 9 2 2 2 2 2" xfId="5586" xr:uid="{00000000-0005-0000-0000-00001A150000}"/>
    <cellStyle name="Comma 9 2 2 2 2 2 2" xfId="5587" xr:uid="{00000000-0005-0000-0000-00001B150000}"/>
    <cellStyle name="Comma 9 2 2 2 2 3" xfId="5588" xr:uid="{00000000-0005-0000-0000-00001C150000}"/>
    <cellStyle name="Comma 9 2 2 2 2 3 2" xfId="5589" xr:uid="{00000000-0005-0000-0000-00001D150000}"/>
    <cellStyle name="Comma 9 2 2 2 2 4" xfId="5590" xr:uid="{00000000-0005-0000-0000-00001E150000}"/>
    <cellStyle name="Comma 9 2 2 2 3" xfId="5591" xr:uid="{00000000-0005-0000-0000-00001F150000}"/>
    <cellStyle name="Comma 9 2 2 2 3 2" xfId="5592" xr:uid="{00000000-0005-0000-0000-000020150000}"/>
    <cellStyle name="Comma 9 2 2 2 3 2 2" xfId="5593" xr:uid="{00000000-0005-0000-0000-000021150000}"/>
    <cellStyle name="Comma 9 2 2 2 3 3" xfId="5594" xr:uid="{00000000-0005-0000-0000-000022150000}"/>
    <cellStyle name="Comma 9 2 2 2 4" xfId="5595" xr:uid="{00000000-0005-0000-0000-000023150000}"/>
    <cellStyle name="Comma 9 2 2 2 4 2" xfId="5596" xr:uid="{00000000-0005-0000-0000-000024150000}"/>
    <cellStyle name="Comma 9 2 2 2 5" xfId="5597" xr:uid="{00000000-0005-0000-0000-000025150000}"/>
    <cellStyle name="Comma 9 2 2 2 5 2" xfId="5598" xr:uid="{00000000-0005-0000-0000-000026150000}"/>
    <cellStyle name="Comma 9 2 2 2 6" xfId="5599" xr:uid="{00000000-0005-0000-0000-000027150000}"/>
    <cellStyle name="Comma 9 2 2 3" xfId="5600" xr:uid="{00000000-0005-0000-0000-000028150000}"/>
    <cellStyle name="Comma 9 2 2 3 2" xfId="5601" xr:uid="{00000000-0005-0000-0000-000029150000}"/>
    <cellStyle name="Comma 9 2 2 3 2 2" xfId="5602" xr:uid="{00000000-0005-0000-0000-00002A150000}"/>
    <cellStyle name="Comma 9 2 2 3 3" xfId="5603" xr:uid="{00000000-0005-0000-0000-00002B150000}"/>
    <cellStyle name="Comma 9 2 2 3 3 2" xfId="5604" xr:uid="{00000000-0005-0000-0000-00002C150000}"/>
    <cellStyle name="Comma 9 2 2 3 4" xfId="5605" xr:uid="{00000000-0005-0000-0000-00002D150000}"/>
    <cellStyle name="Comma 9 2 2 4" xfId="5606" xr:uid="{00000000-0005-0000-0000-00002E150000}"/>
    <cellStyle name="Comma 9 2 2 4 2" xfId="5607" xr:uid="{00000000-0005-0000-0000-00002F150000}"/>
    <cellStyle name="Comma 9 2 2 4 2 2" xfId="5608" xr:uid="{00000000-0005-0000-0000-000030150000}"/>
    <cellStyle name="Comma 9 2 2 4 3" xfId="5609" xr:uid="{00000000-0005-0000-0000-000031150000}"/>
    <cellStyle name="Comma 9 2 2 5" xfId="5610" xr:uid="{00000000-0005-0000-0000-000032150000}"/>
    <cellStyle name="Comma 9 2 2 5 2" xfId="5611" xr:uid="{00000000-0005-0000-0000-000033150000}"/>
    <cellStyle name="Comma 9 2 2 6" xfId="5612" xr:uid="{00000000-0005-0000-0000-000034150000}"/>
    <cellStyle name="Comma 9 2 2 6 2" xfId="5613" xr:uid="{00000000-0005-0000-0000-000035150000}"/>
    <cellStyle name="Comma 9 2 2 7" xfId="5614" xr:uid="{00000000-0005-0000-0000-000036150000}"/>
    <cellStyle name="Comma 9 2 3" xfId="5615" xr:uid="{00000000-0005-0000-0000-000037150000}"/>
    <cellStyle name="Comma 9 2 3 2" xfId="5616" xr:uid="{00000000-0005-0000-0000-000038150000}"/>
    <cellStyle name="Comma 9 2 3 2 2" xfId="5617" xr:uid="{00000000-0005-0000-0000-000039150000}"/>
    <cellStyle name="Comma 9 2 3 2 2 2" xfId="5618" xr:uid="{00000000-0005-0000-0000-00003A150000}"/>
    <cellStyle name="Comma 9 2 3 2 2 2 2" xfId="5619" xr:uid="{00000000-0005-0000-0000-00003B150000}"/>
    <cellStyle name="Comma 9 2 3 2 2 3" xfId="5620" xr:uid="{00000000-0005-0000-0000-00003C150000}"/>
    <cellStyle name="Comma 9 2 3 2 2 3 2" xfId="5621" xr:uid="{00000000-0005-0000-0000-00003D150000}"/>
    <cellStyle name="Comma 9 2 3 2 2 4" xfId="5622" xr:uid="{00000000-0005-0000-0000-00003E150000}"/>
    <cellStyle name="Comma 9 2 3 2 3" xfId="5623" xr:uid="{00000000-0005-0000-0000-00003F150000}"/>
    <cellStyle name="Comma 9 2 3 2 3 2" xfId="5624" xr:uid="{00000000-0005-0000-0000-000040150000}"/>
    <cellStyle name="Comma 9 2 3 2 3 2 2" xfId="5625" xr:uid="{00000000-0005-0000-0000-000041150000}"/>
    <cellStyle name="Comma 9 2 3 2 3 3" xfId="5626" xr:uid="{00000000-0005-0000-0000-000042150000}"/>
    <cellStyle name="Comma 9 2 3 2 4" xfId="5627" xr:uid="{00000000-0005-0000-0000-000043150000}"/>
    <cellStyle name="Comma 9 2 3 2 4 2" xfId="5628" xr:uid="{00000000-0005-0000-0000-000044150000}"/>
    <cellStyle name="Comma 9 2 3 2 5" xfId="5629" xr:uid="{00000000-0005-0000-0000-000045150000}"/>
    <cellStyle name="Comma 9 2 3 2 5 2" xfId="5630" xr:uid="{00000000-0005-0000-0000-000046150000}"/>
    <cellStyle name="Comma 9 2 3 2 6" xfId="5631" xr:uid="{00000000-0005-0000-0000-000047150000}"/>
    <cellStyle name="Comma 9 2 3 3" xfId="5632" xr:uid="{00000000-0005-0000-0000-000048150000}"/>
    <cellStyle name="Comma 9 2 3 3 2" xfId="5633" xr:uid="{00000000-0005-0000-0000-000049150000}"/>
    <cellStyle name="Comma 9 2 3 3 2 2" xfId="5634" xr:uid="{00000000-0005-0000-0000-00004A150000}"/>
    <cellStyle name="Comma 9 2 3 3 3" xfId="5635" xr:uid="{00000000-0005-0000-0000-00004B150000}"/>
    <cellStyle name="Comma 9 2 3 3 3 2" xfId="5636" xr:uid="{00000000-0005-0000-0000-00004C150000}"/>
    <cellStyle name="Comma 9 2 3 3 4" xfId="5637" xr:uid="{00000000-0005-0000-0000-00004D150000}"/>
    <cellStyle name="Comma 9 2 3 4" xfId="5638" xr:uid="{00000000-0005-0000-0000-00004E150000}"/>
    <cellStyle name="Comma 9 2 3 4 2" xfId="5639" xr:uid="{00000000-0005-0000-0000-00004F150000}"/>
    <cellStyle name="Comma 9 2 3 4 2 2" xfId="5640" xr:uid="{00000000-0005-0000-0000-000050150000}"/>
    <cellStyle name="Comma 9 2 3 4 3" xfId="5641" xr:uid="{00000000-0005-0000-0000-000051150000}"/>
    <cellStyle name="Comma 9 2 3 5" xfId="5642" xr:uid="{00000000-0005-0000-0000-000052150000}"/>
    <cellStyle name="Comma 9 2 3 5 2" xfId="5643" xr:uid="{00000000-0005-0000-0000-000053150000}"/>
    <cellStyle name="Comma 9 2 3 6" xfId="5644" xr:uid="{00000000-0005-0000-0000-000054150000}"/>
    <cellStyle name="Comma 9 2 3 6 2" xfId="5645" xr:uid="{00000000-0005-0000-0000-000055150000}"/>
    <cellStyle name="Comma 9 2 3 7" xfId="5646" xr:uid="{00000000-0005-0000-0000-000056150000}"/>
    <cellStyle name="Comma 9 3" xfId="5647" xr:uid="{00000000-0005-0000-0000-000057150000}"/>
    <cellStyle name="Comma 9 3 2" xfId="5648" xr:uid="{00000000-0005-0000-0000-000058150000}"/>
    <cellStyle name="Comma 9 3 2 2" xfId="5649" xr:uid="{00000000-0005-0000-0000-000059150000}"/>
    <cellStyle name="Comma 9 3 2 2 2" xfId="5650" xr:uid="{00000000-0005-0000-0000-00005A150000}"/>
    <cellStyle name="Comma 9 3 2 2 2 2" xfId="5651" xr:uid="{00000000-0005-0000-0000-00005B150000}"/>
    <cellStyle name="Comma 9 3 2 2 3" xfId="5652" xr:uid="{00000000-0005-0000-0000-00005C150000}"/>
    <cellStyle name="Comma 9 3 2 2 3 2" xfId="5653" xr:uid="{00000000-0005-0000-0000-00005D150000}"/>
    <cellStyle name="Comma 9 3 2 2 4" xfId="5654" xr:uid="{00000000-0005-0000-0000-00005E150000}"/>
    <cellStyle name="Comma 9 3 2 3" xfId="5655" xr:uid="{00000000-0005-0000-0000-00005F150000}"/>
    <cellStyle name="Comma 9 3 2 3 2" xfId="5656" xr:uid="{00000000-0005-0000-0000-000060150000}"/>
    <cellStyle name="Comma 9 3 2 3 2 2" xfId="5657" xr:uid="{00000000-0005-0000-0000-000061150000}"/>
    <cellStyle name="Comma 9 3 2 3 3" xfId="5658" xr:uid="{00000000-0005-0000-0000-000062150000}"/>
    <cellStyle name="Comma 9 3 2 4" xfId="5659" xr:uid="{00000000-0005-0000-0000-000063150000}"/>
    <cellStyle name="Comma 9 3 2 4 2" xfId="5660" xr:uid="{00000000-0005-0000-0000-000064150000}"/>
    <cellStyle name="Comma 9 3 2 5" xfId="5661" xr:uid="{00000000-0005-0000-0000-000065150000}"/>
    <cellStyle name="Comma 9 3 2 5 2" xfId="5662" xr:uid="{00000000-0005-0000-0000-000066150000}"/>
    <cellStyle name="Comma 9 3 2 6" xfId="5663" xr:uid="{00000000-0005-0000-0000-000067150000}"/>
    <cellStyle name="Comma 9 3 3" xfId="5664" xr:uid="{00000000-0005-0000-0000-000068150000}"/>
    <cellStyle name="Comma 9 3 3 2" xfId="5665" xr:uid="{00000000-0005-0000-0000-000069150000}"/>
    <cellStyle name="Comma 9 3 3 2 2" xfId="5666" xr:uid="{00000000-0005-0000-0000-00006A150000}"/>
    <cellStyle name="Comma 9 3 3 3" xfId="5667" xr:uid="{00000000-0005-0000-0000-00006B150000}"/>
    <cellStyle name="Comma 9 3 3 3 2" xfId="5668" xr:uid="{00000000-0005-0000-0000-00006C150000}"/>
    <cellStyle name="Comma 9 3 3 4" xfId="5669" xr:uid="{00000000-0005-0000-0000-00006D150000}"/>
    <cellStyle name="Comma 9 3 4" xfId="5670" xr:uid="{00000000-0005-0000-0000-00006E150000}"/>
    <cellStyle name="Comma 9 3 4 2" xfId="5671" xr:uid="{00000000-0005-0000-0000-00006F150000}"/>
    <cellStyle name="Comma 9 3 4 2 2" xfId="5672" xr:uid="{00000000-0005-0000-0000-000070150000}"/>
    <cellStyle name="Comma 9 3 4 3" xfId="5673" xr:uid="{00000000-0005-0000-0000-000071150000}"/>
    <cellStyle name="Comma 9 3 5" xfId="5674" xr:uid="{00000000-0005-0000-0000-000072150000}"/>
    <cellStyle name="Comma 9 3 5 2" xfId="5675" xr:uid="{00000000-0005-0000-0000-000073150000}"/>
    <cellStyle name="Comma 9 3 6" xfId="5676" xr:uid="{00000000-0005-0000-0000-000074150000}"/>
    <cellStyle name="Comma 9 3 6 2" xfId="5677" xr:uid="{00000000-0005-0000-0000-000075150000}"/>
    <cellStyle name="Comma 9 3 7" xfId="5678" xr:uid="{00000000-0005-0000-0000-000076150000}"/>
    <cellStyle name="Comma 9 4" xfId="5679" xr:uid="{00000000-0005-0000-0000-000077150000}"/>
    <cellStyle name="Comma 9 4 2" xfId="5680" xr:uid="{00000000-0005-0000-0000-000078150000}"/>
    <cellStyle name="Comma 9 4 2 2" xfId="5681" xr:uid="{00000000-0005-0000-0000-000079150000}"/>
    <cellStyle name="Comma 9 4 2 2 2" xfId="5682" xr:uid="{00000000-0005-0000-0000-00007A150000}"/>
    <cellStyle name="Comma 9 4 2 2 2 2" xfId="5683" xr:uid="{00000000-0005-0000-0000-00007B150000}"/>
    <cellStyle name="Comma 9 4 2 2 3" xfId="5684" xr:uid="{00000000-0005-0000-0000-00007C150000}"/>
    <cellStyle name="Comma 9 4 2 2 3 2" xfId="5685" xr:uid="{00000000-0005-0000-0000-00007D150000}"/>
    <cellStyle name="Comma 9 4 2 2 4" xfId="5686" xr:uid="{00000000-0005-0000-0000-00007E150000}"/>
    <cellStyle name="Comma 9 4 2 3" xfId="5687" xr:uid="{00000000-0005-0000-0000-00007F150000}"/>
    <cellStyle name="Comma 9 4 2 3 2" xfId="5688" xr:uid="{00000000-0005-0000-0000-000080150000}"/>
    <cellStyle name="Comma 9 4 2 3 2 2" xfId="5689" xr:uid="{00000000-0005-0000-0000-000081150000}"/>
    <cellStyle name="Comma 9 4 2 3 3" xfId="5690" xr:uid="{00000000-0005-0000-0000-000082150000}"/>
    <cellStyle name="Comma 9 4 2 4" xfId="5691" xr:uid="{00000000-0005-0000-0000-000083150000}"/>
    <cellStyle name="Comma 9 4 2 4 2" xfId="5692" xr:uid="{00000000-0005-0000-0000-000084150000}"/>
    <cellStyle name="Comma 9 4 2 5" xfId="5693" xr:uid="{00000000-0005-0000-0000-000085150000}"/>
    <cellStyle name="Comma 9 4 2 5 2" xfId="5694" xr:uid="{00000000-0005-0000-0000-000086150000}"/>
    <cellStyle name="Comma 9 4 2 6" xfId="5695" xr:uid="{00000000-0005-0000-0000-000087150000}"/>
    <cellStyle name="Comma 9 4 3" xfId="5696" xr:uid="{00000000-0005-0000-0000-000088150000}"/>
    <cellStyle name="Comma 9 4 3 2" xfId="5697" xr:uid="{00000000-0005-0000-0000-000089150000}"/>
    <cellStyle name="Comma 9 4 3 2 2" xfId="5698" xr:uid="{00000000-0005-0000-0000-00008A150000}"/>
    <cellStyle name="Comma 9 4 3 3" xfId="5699" xr:uid="{00000000-0005-0000-0000-00008B150000}"/>
    <cellStyle name="Comma 9 4 3 3 2" xfId="5700" xr:uid="{00000000-0005-0000-0000-00008C150000}"/>
    <cellStyle name="Comma 9 4 3 4" xfId="5701" xr:uid="{00000000-0005-0000-0000-00008D150000}"/>
    <cellStyle name="Comma 9 4 4" xfId="5702" xr:uid="{00000000-0005-0000-0000-00008E150000}"/>
    <cellStyle name="Comma 9 4 4 2" xfId="5703" xr:uid="{00000000-0005-0000-0000-00008F150000}"/>
    <cellStyle name="Comma 9 4 4 2 2" xfId="5704" xr:uid="{00000000-0005-0000-0000-000090150000}"/>
    <cellStyle name="Comma 9 4 4 3" xfId="5705" xr:uid="{00000000-0005-0000-0000-000091150000}"/>
    <cellStyle name="Comma 9 4 5" xfId="5706" xr:uid="{00000000-0005-0000-0000-000092150000}"/>
    <cellStyle name="Comma 9 4 5 2" xfId="5707" xr:uid="{00000000-0005-0000-0000-000093150000}"/>
    <cellStyle name="Comma 9 4 6" xfId="5708" xr:uid="{00000000-0005-0000-0000-000094150000}"/>
    <cellStyle name="Comma 9 4 6 2" xfId="5709" xr:uid="{00000000-0005-0000-0000-000095150000}"/>
    <cellStyle name="Comma 9 4 7" xfId="5710" xr:uid="{00000000-0005-0000-0000-000096150000}"/>
    <cellStyle name="Comma 9 5" xfId="5711" xr:uid="{00000000-0005-0000-0000-000097150000}"/>
    <cellStyle name="Comma 9 5 2" xfId="5712" xr:uid="{00000000-0005-0000-0000-000098150000}"/>
    <cellStyle name="Comma 9 5 2 2" xfId="5713" xr:uid="{00000000-0005-0000-0000-000099150000}"/>
    <cellStyle name="Comma 9 5 3" xfId="5714" xr:uid="{00000000-0005-0000-0000-00009A150000}"/>
    <cellStyle name="Comma 9 6" xfId="5715" xr:uid="{00000000-0005-0000-0000-00009B150000}"/>
    <cellStyle name="Comma 90" xfId="5716" xr:uid="{00000000-0005-0000-0000-00009C150000}"/>
    <cellStyle name="Comma 90 2" xfId="5717" xr:uid="{00000000-0005-0000-0000-00009D150000}"/>
    <cellStyle name="Comma 90 2 2" xfId="5718" xr:uid="{00000000-0005-0000-0000-00009E150000}"/>
    <cellStyle name="Comma 90 2 2 2" xfId="5719" xr:uid="{00000000-0005-0000-0000-00009F150000}"/>
    <cellStyle name="Comma 90 2 2 2 2" xfId="5720" xr:uid="{00000000-0005-0000-0000-0000A0150000}"/>
    <cellStyle name="Comma 90 2 2 2 2 2" xfId="5721" xr:uid="{00000000-0005-0000-0000-0000A1150000}"/>
    <cellStyle name="Comma 90 2 2 2 3" xfId="5722" xr:uid="{00000000-0005-0000-0000-0000A2150000}"/>
    <cellStyle name="Comma 90 2 2 2 3 2" xfId="5723" xr:uid="{00000000-0005-0000-0000-0000A3150000}"/>
    <cellStyle name="Comma 90 2 2 2 4" xfId="5724" xr:uid="{00000000-0005-0000-0000-0000A4150000}"/>
    <cellStyle name="Comma 90 2 2 3" xfId="5725" xr:uid="{00000000-0005-0000-0000-0000A5150000}"/>
    <cellStyle name="Comma 90 2 2 3 2" xfId="5726" xr:uid="{00000000-0005-0000-0000-0000A6150000}"/>
    <cellStyle name="Comma 90 2 2 3 2 2" xfId="5727" xr:uid="{00000000-0005-0000-0000-0000A7150000}"/>
    <cellStyle name="Comma 90 2 2 3 3" xfId="5728" xr:uid="{00000000-0005-0000-0000-0000A8150000}"/>
    <cellStyle name="Comma 90 2 2 4" xfId="5729" xr:uid="{00000000-0005-0000-0000-0000A9150000}"/>
    <cellStyle name="Comma 90 2 2 4 2" xfId="5730" xr:uid="{00000000-0005-0000-0000-0000AA150000}"/>
    <cellStyle name="Comma 90 2 2 5" xfId="5731" xr:uid="{00000000-0005-0000-0000-0000AB150000}"/>
    <cellStyle name="Comma 90 2 2 5 2" xfId="5732" xr:uid="{00000000-0005-0000-0000-0000AC150000}"/>
    <cellStyle name="Comma 90 2 2 6" xfId="5733" xr:uid="{00000000-0005-0000-0000-0000AD150000}"/>
    <cellStyle name="Comma 90 2 3" xfId="5734" xr:uid="{00000000-0005-0000-0000-0000AE150000}"/>
    <cellStyle name="Comma 90 2 3 2" xfId="5735" xr:uid="{00000000-0005-0000-0000-0000AF150000}"/>
    <cellStyle name="Comma 90 2 3 2 2" xfId="5736" xr:uid="{00000000-0005-0000-0000-0000B0150000}"/>
    <cellStyle name="Comma 90 2 3 3" xfId="5737" xr:uid="{00000000-0005-0000-0000-0000B1150000}"/>
    <cellStyle name="Comma 90 2 3 3 2" xfId="5738" xr:uid="{00000000-0005-0000-0000-0000B2150000}"/>
    <cellStyle name="Comma 90 2 3 4" xfId="5739" xr:uid="{00000000-0005-0000-0000-0000B3150000}"/>
    <cellStyle name="Comma 90 2 4" xfId="5740" xr:uid="{00000000-0005-0000-0000-0000B4150000}"/>
    <cellStyle name="Comma 90 2 4 2" xfId="5741" xr:uid="{00000000-0005-0000-0000-0000B5150000}"/>
    <cellStyle name="Comma 90 2 4 2 2" xfId="5742" xr:uid="{00000000-0005-0000-0000-0000B6150000}"/>
    <cellStyle name="Comma 90 2 4 3" xfId="5743" xr:uid="{00000000-0005-0000-0000-0000B7150000}"/>
    <cellStyle name="Comma 90 2 5" xfId="5744" xr:uid="{00000000-0005-0000-0000-0000B8150000}"/>
    <cellStyle name="Comma 90 2 5 2" xfId="5745" xr:uid="{00000000-0005-0000-0000-0000B9150000}"/>
    <cellStyle name="Comma 90 2 6" xfId="5746" xr:uid="{00000000-0005-0000-0000-0000BA150000}"/>
    <cellStyle name="Comma 90 2 6 2" xfId="5747" xr:uid="{00000000-0005-0000-0000-0000BB150000}"/>
    <cellStyle name="Comma 90 2 7" xfId="5748" xr:uid="{00000000-0005-0000-0000-0000BC150000}"/>
    <cellStyle name="Comma 90 3" xfId="5749" xr:uid="{00000000-0005-0000-0000-0000BD150000}"/>
    <cellStyle name="Comma 90 3 2" xfId="5750" xr:uid="{00000000-0005-0000-0000-0000BE150000}"/>
    <cellStyle name="Comma 90 3 2 2" xfId="5751" xr:uid="{00000000-0005-0000-0000-0000BF150000}"/>
    <cellStyle name="Comma 90 3 2 2 2" xfId="5752" xr:uid="{00000000-0005-0000-0000-0000C0150000}"/>
    <cellStyle name="Comma 90 3 2 3" xfId="5753" xr:uid="{00000000-0005-0000-0000-0000C1150000}"/>
    <cellStyle name="Comma 90 3 2 3 2" xfId="5754" xr:uid="{00000000-0005-0000-0000-0000C2150000}"/>
    <cellStyle name="Comma 90 3 2 4" xfId="5755" xr:uid="{00000000-0005-0000-0000-0000C3150000}"/>
    <cellStyle name="Comma 90 3 3" xfId="5756" xr:uid="{00000000-0005-0000-0000-0000C4150000}"/>
    <cellStyle name="Comma 90 3 3 2" xfId="5757" xr:uid="{00000000-0005-0000-0000-0000C5150000}"/>
    <cellStyle name="Comma 90 3 3 2 2" xfId="5758" xr:uid="{00000000-0005-0000-0000-0000C6150000}"/>
    <cellStyle name="Comma 90 3 3 3" xfId="5759" xr:uid="{00000000-0005-0000-0000-0000C7150000}"/>
    <cellStyle name="Comma 90 3 4" xfId="5760" xr:uid="{00000000-0005-0000-0000-0000C8150000}"/>
    <cellStyle name="Comma 90 3 4 2" xfId="5761" xr:uid="{00000000-0005-0000-0000-0000C9150000}"/>
    <cellStyle name="Comma 90 3 5" xfId="5762" xr:uid="{00000000-0005-0000-0000-0000CA150000}"/>
    <cellStyle name="Comma 90 3 5 2" xfId="5763" xr:uid="{00000000-0005-0000-0000-0000CB150000}"/>
    <cellStyle name="Comma 90 3 6" xfId="5764" xr:uid="{00000000-0005-0000-0000-0000CC150000}"/>
    <cellStyle name="Comma 90 4" xfId="5765" xr:uid="{00000000-0005-0000-0000-0000CD150000}"/>
    <cellStyle name="Comma 90 4 2" xfId="5766" xr:uid="{00000000-0005-0000-0000-0000CE150000}"/>
    <cellStyle name="Comma 90 4 2 2" xfId="5767" xr:uid="{00000000-0005-0000-0000-0000CF150000}"/>
    <cellStyle name="Comma 90 4 3" xfId="5768" xr:uid="{00000000-0005-0000-0000-0000D0150000}"/>
    <cellStyle name="Comma 90 4 3 2" xfId="5769" xr:uid="{00000000-0005-0000-0000-0000D1150000}"/>
    <cellStyle name="Comma 90 4 4" xfId="5770" xr:uid="{00000000-0005-0000-0000-0000D2150000}"/>
    <cellStyle name="Comma 90 5" xfId="5771" xr:uid="{00000000-0005-0000-0000-0000D3150000}"/>
    <cellStyle name="Comma 90 5 2" xfId="5772" xr:uid="{00000000-0005-0000-0000-0000D4150000}"/>
    <cellStyle name="Comma 90 5 2 2" xfId="5773" xr:uid="{00000000-0005-0000-0000-0000D5150000}"/>
    <cellStyle name="Comma 90 5 3" xfId="5774" xr:uid="{00000000-0005-0000-0000-0000D6150000}"/>
    <cellStyle name="Comma 90 6" xfId="5775" xr:uid="{00000000-0005-0000-0000-0000D7150000}"/>
    <cellStyle name="Comma 90 6 2" xfId="5776" xr:uid="{00000000-0005-0000-0000-0000D8150000}"/>
    <cellStyle name="Comma 90 7" xfId="5777" xr:uid="{00000000-0005-0000-0000-0000D9150000}"/>
    <cellStyle name="Comma 90 7 2" xfId="5778" xr:uid="{00000000-0005-0000-0000-0000DA150000}"/>
    <cellStyle name="Comma 90 8" xfId="5779" xr:uid="{00000000-0005-0000-0000-0000DB150000}"/>
    <cellStyle name="Comma 91" xfId="5780" xr:uid="{00000000-0005-0000-0000-0000DC150000}"/>
    <cellStyle name="Comma 91 2" xfId="5781" xr:uid="{00000000-0005-0000-0000-0000DD150000}"/>
    <cellStyle name="Comma 91 2 2" xfId="5782" xr:uid="{00000000-0005-0000-0000-0000DE150000}"/>
    <cellStyle name="Comma 91 2 2 2" xfId="5783" xr:uid="{00000000-0005-0000-0000-0000DF150000}"/>
    <cellStyle name="Comma 91 2 2 2 2" xfId="5784" xr:uid="{00000000-0005-0000-0000-0000E0150000}"/>
    <cellStyle name="Comma 91 2 2 2 2 2" xfId="5785" xr:uid="{00000000-0005-0000-0000-0000E1150000}"/>
    <cellStyle name="Comma 91 2 2 2 3" xfId="5786" xr:uid="{00000000-0005-0000-0000-0000E2150000}"/>
    <cellStyle name="Comma 91 2 2 2 3 2" xfId="5787" xr:uid="{00000000-0005-0000-0000-0000E3150000}"/>
    <cellStyle name="Comma 91 2 2 2 4" xfId="5788" xr:uid="{00000000-0005-0000-0000-0000E4150000}"/>
    <cellStyle name="Comma 91 2 2 3" xfId="5789" xr:uid="{00000000-0005-0000-0000-0000E5150000}"/>
    <cellStyle name="Comma 91 2 2 3 2" xfId="5790" xr:uid="{00000000-0005-0000-0000-0000E6150000}"/>
    <cellStyle name="Comma 91 2 2 3 2 2" xfId="5791" xr:uid="{00000000-0005-0000-0000-0000E7150000}"/>
    <cellStyle name="Comma 91 2 2 3 3" xfId="5792" xr:uid="{00000000-0005-0000-0000-0000E8150000}"/>
    <cellStyle name="Comma 91 2 2 4" xfId="5793" xr:uid="{00000000-0005-0000-0000-0000E9150000}"/>
    <cellStyle name="Comma 91 2 2 4 2" xfId="5794" xr:uid="{00000000-0005-0000-0000-0000EA150000}"/>
    <cellStyle name="Comma 91 2 2 5" xfId="5795" xr:uid="{00000000-0005-0000-0000-0000EB150000}"/>
    <cellStyle name="Comma 91 2 2 5 2" xfId="5796" xr:uid="{00000000-0005-0000-0000-0000EC150000}"/>
    <cellStyle name="Comma 91 2 2 6" xfId="5797" xr:uid="{00000000-0005-0000-0000-0000ED150000}"/>
    <cellStyle name="Comma 91 2 3" xfId="5798" xr:uid="{00000000-0005-0000-0000-0000EE150000}"/>
    <cellStyle name="Comma 91 2 3 2" xfId="5799" xr:uid="{00000000-0005-0000-0000-0000EF150000}"/>
    <cellStyle name="Comma 91 2 3 2 2" xfId="5800" xr:uid="{00000000-0005-0000-0000-0000F0150000}"/>
    <cellStyle name="Comma 91 2 3 3" xfId="5801" xr:uid="{00000000-0005-0000-0000-0000F1150000}"/>
    <cellStyle name="Comma 91 2 3 3 2" xfId="5802" xr:uid="{00000000-0005-0000-0000-0000F2150000}"/>
    <cellStyle name="Comma 91 2 3 4" xfId="5803" xr:uid="{00000000-0005-0000-0000-0000F3150000}"/>
    <cellStyle name="Comma 91 2 4" xfId="5804" xr:uid="{00000000-0005-0000-0000-0000F4150000}"/>
    <cellStyle name="Comma 91 2 4 2" xfId="5805" xr:uid="{00000000-0005-0000-0000-0000F5150000}"/>
    <cellStyle name="Comma 91 2 4 2 2" xfId="5806" xr:uid="{00000000-0005-0000-0000-0000F6150000}"/>
    <cellStyle name="Comma 91 2 4 3" xfId="5807" xr:uid="{00000000-0005-0000-0000-0000F7150000}"/>
    <cellStyle name="Comma 91 2 5" xfId="5808" xr:uid="{00000000-0005-0000-0000-0000F8150000}"/>
    <cellStyle name="Comma 91 2 5 2" xfId="5809" xr:uid="{00000000-0005-0000-0000-0000F9150000}"/>
    <cellStyle name="Comma 91 2 6" xfId="5810" xr:uid="{00000000-0005-0000-0000-0000FA150000}"/>
    <cellStyle name="Comma 91 2 6 2" xfId="5811" xr:uid="{00000000-0005-0000-0000-0000FB150000}"/>
    <cellStyle name="Comma 91 2 7" xfId="5812" xr:uid="{00000000-0005-0000-0000-0000FC150000}"/>
    <cellStyle name="Comma 91 3" xfId="5813" xr:uid="{00000000-0005-0000-0000-0000FD150000}"/>
    <cellStyle name="Comma 91 3 2" xfId="5814" xr:uid="{00000000-0005-0000-0000-0000FE150000}"/>
    <cellStyle name="Comma 91 3 2 2" xfId="5815" xr:uid="{00000000-0005-0000-0000-0000FF150000}"/>
    <cellStyle name="Comma 91 3 2 2 2" xfId="5816" xr:uid="{00000000-0005-0000-0000-000000160000}"/>
    <cellStyle name="Comma 91 3 2 3" xfId="5817" xr:uid="{00000000-0005-0000-0000-000001160000}"/>
    <cellStyle name="Comma 91 3 2 3 2" xfId="5818" xr:uid="{00000000-0005-0000-0000-000002160000}"/>
    <cellStyle name="Comma 91 3 2 4" xfId="5819" xr:uid="{00000000-0005-0000-0000-000003160000}"/>
    <cellStyle name="Comma 91 3 3" xfId="5820" xr:uid="{00000000-0005-0000-0000-000004160000}"/>
    <cellStyle name="Comma 91 3 3 2" xfId="5821" xr:uid="{00000000-0005-0000-0000-000005160000}"/>
    <cellStyle name="Comma 91 3 3 2 2" xfId="5822" xr:uid="{00000000-0005-0000-0000-000006160000}"/>
    <cellStyle name="Comma 91 3 3 3" xfId="5823" xr:uid="{00000000-0005-0000-0000-000007160000}"/>
    <cellStyle name="Comma 91 3 4" xfId="5824" xr:uid="{00000000-0005-0000-0000-000008160000}"/>
    <cellStyle name="Comma 91 3 4 2" xfId="5825" xr:uid="{00000000-0005-0000-0000-000009160000}"/>
    <cellStyle name="Comma 91 3 5" xfId="5826" xr:uid="{00000000-0005-0000-0000-00000A160000}"/>
    <cellStyle name="Comma 91 3 5 2" xfId="5827" xr:uid="{00000000-0005-0000-0000-00000B160000}"/>
    <cellStyle name="Comma 91 3 6" xfId="5828" xr:uid="{00000000-0005-0000-0000-00000C160000}"/>
    <cellStyle name="Comma 91 4" xfId="5829" xr:uid="{00000000-0005-0000-0000-00000D160000}"/>
    <cellStyle name="Comma 91 4 2" xfId="5830" xr:uid="{00000000-0005-0000-0000-00000E160000}"/>
    <cellStyle name="Comma 91 4 2 2" xfId="5831" xr:uid="{00000000-0005-0000-0000-00000F160000}"/>
    <cellStyle name="Comma 91 4 3" xfId="5832" xr:uid="{00000000-0005-0000-0000-000010160000}"/>
    <cellStyle name="Comma 91 4 3 2" xfId="5833" xr:uid="{00000000-0005-0000-0000-000011160000}"/>
    <cellStyle name="Comma 91 4 4" xfId="5834" xr:uid="{00000000-0005-0000-0000-000012160000}"/>
    <cellStyle name="Comma 91 5" xfId="5835" xr:uid="{00000000-0005-0000-0000-000013160000}"/>
    <cellStyle name="Comma 91 5 2" xfId="5836" xr:uid="{00000000-0005-0000-0000-000014160000}"/>
    <cellStyle name="Comma 91 5 2 2" xfId="5837" xr:uid="{00000000-0005-0000-0000-000015160000}"/>
    <cellStyle name="Comma 91 5 3" xfId="5838" xr:uid="{00000000-0005-0000-0000-000016160000}"/>
    <cellStyle name="Comma 91 6" xfId="5839" xr:uid="{00000000-0005-0000-0000-000017160000}"/>
    <cellStyle name="Comma 91 6 2" xfId="5840" xr:uid="{00000000-0005-0000-0000-000018160000}"/>
    <cellStyle name="Comma 91 7" xfId="5841" xr:uid="{00000000-0005-0000-0000-000019160000}"/>
    <cellStyle name="Comma 91 7 2" xfId="5842" xr:uid="{00000000-0005-0000-0000-00001A160000}"/>
    <cellStyle name="Comma 91 8" xfId="5843" xr:uid="{00000000-0005-0000-0000-00001B160000}"/>
    <cellStyle name="Comma 92" xfId="5844" xr:uid="{00000000-0005-0000-0000-00001C160000}"/>
    <cellStyle name="Comma 92 2" xfId="5845" xr:uid="{00000000-0005-0000-0000-00001D160000}"/>
    <cellStyle name="Comma 92 2 2" xfId="5846" xr:uid="{00000000-0005-0000-0000-00001E160000}"/>
    <cellStyle name="Comma 92 2 2 2" xfId="5847" xr:uid="{00000000-0005-0000-0000-00001F160000}"/>
    <cellStyle name="Comma 92 2 2 2 2" xfId="5848" xr:uid="{00000000-0005-0000-0000-000020160000}"/>
    <cellStyle name="Comma 92 2 2 2 2 2" xfId="5849" xr:uid="{00000000-0005-0000-0000-000021160000}"/>
    <cellStyle name="Comma 92 2 2 2 3" xfId="5850" xr:uid="{00000000-0005-0000-0000-000022160000}"/>
    <cellStyle name="Comma 92 2 2 2 3 2" xfId="5851" xr:uid="{00000000-0005-0000-0000-000023160000}"/>
    <cellStyle name="Comma 92 2 2 2 4" xfId="5852" xr:uid="{00000000-0005-0000-0000-000024160000}"/>
    <cellStyle name="Comma 92 2 2 3" xfId="5853" xr:uid="{00000000-0005-0000-0000-000025160000}"/>
    <cellStyle name="Comma 92 2 2 3 2" xfId="5854" xr:uid="{00000000-0005-0000-0000-000026160000}"/>
    <cellStyle name="Comma 92 2 2 3 2 2" xfId="5855" xr:uid="{00000000-0005-0000-0000-000027160000}"/>
    <cellStyle name="Comma 92 2 2 3 3" xfId="5856" xr:uid="{00000000-0005-0000-0000-000028160000}"/>
    <cellStyle name="Comma 92 2 2 4" xfId="5857" xr:uid="{00000000-0005-0000-0000-000029160000}"/>
    <cellStyle name="Comma 92 2 2 4 2" xfId="5858" xr:uid="{00000000-0005-0000-0000-00002A160000}"/>
    <cellStyle name="Comma 92 2 2 5" xfId="5859" xr:uid="{00000000-0005-0000-0000-00002B160000}"/>
    <cellStyle name="Comma 92 2 2 5 2" xfId="5860" xr:uid="{00000000-0005-0000-0000-00002C160000}"/>
    <cellStyle name="Comma 92 2 2 6" xfId="5861" xr:uid="{00000000-0005-0000-0000-00002D160000}"/>
    <cellStyle name="Comma 92 2 3" xfId="5862" xr:uid="{00000000-0005-0000-0000-00002E160000}"/>
    <cellStyle name="Comma 92 2 3 2" xfId="5863" xr:uid="{00000000-0005-0000-0000-00002F160000}"/>
    <cellStyle name="Comma 92 2 3 2 2" xfId="5864" xr:uid="{00000000-0005-0000-0000-000030160000}"/>
    <cellStyle name="Comma 92 2 3 3" xfId="5865" xr:uid="{00000000-0005-0000-0000-000031160000}"/>
    <cellStyle name="Comma 92 2 3 3 2" xfId="5866" xr:uid="{00000000-0005-0000-0000-000032160000}"/>
    <cellStyle name="Comma 92 2 3 4" xfId="5867" xr:uid="{00000000-0005-0000-0000-000033160000}"/>
    <cellStyle name="Comma 92 2 4" xfId="5868" xr:uid="{00000000-0005-0000-0000-000034160000}"/>
    <cellStyle name="Comma 92 2 4 2" xfId="5869" xr:uid="{00000000-0005-0000-0000-000035160000}"/>
    <cellStyle name="Comma 92 2 4 2 2" xfId="5870" xr:uid="{00000000-0005-0000-0000-000036160000}"/>
    <cellStyle name="Comma 92 2 4 3" xfId="5871" xr:uid="{00000000-0005-0000-0000-000037160000}"/>
    <cellStyle name="Comma 92 2 5" xfId="5872" xr:uid="{00000000-0005-0000-0000-000038160000}"/>
    <cellStyle name="Comma 92 2 5 2" xfId="5873" xr:uid="{00000000-0005-0000-0000-000039160000}"/>
    <cellStyle name="Comma 92 2 6" xfId="5874" xr:uid="{00000000-0005-0000-0000-00003A160000}"/>
    <cellStyle name="Comma 92 2 6 2" xfId="5875" xr:uid="{00000000-0005-0000-0000-00003B160000}"/>
    <cellStyle name="Comma 92 2 7" xfId="5876" xr:uid="{00000000-0005-0000-0000-00003C160000}"/>
    <cellStyle name="Comma 92 3" xfId="5877" xr:uid="{00000000-0005-0000-0000-00003D160000}"/>
    <cellStyle name="Comma 92 3 2" xfId="5878" xr:uid="{00000000-0005-0000-0000-00003E160000}"/>
    <cellStyle name="Comma 92 3 2 2" xfId="5879" xr:uid="{00000000-0005-0000-0000-00003F160000}"/>
    <cellStyle name="Comma 92 3 2 2 2" xfId="5880" xr:uid="{00000000-0005-0000-0000-000040160000}"/>
    <cellStyle name="Comma 92 3 2 3" xfId="5881" xr:uid="{00000000-0005-0000-0000-000041160000}"/>
    <cellStyle name="Comma 92 3 2 3 2" xfId="5882" xr:uid="{00000000-0005-0000-0000-000042160000}"/>
    <cellStyle name="Comma 92 3 2 4" xfId="5883" xr:uid="{00000000-0005-0000-0000-000043160000}"/>
    <cellStyle name="Comma 92 3 3" xfId="5884" xr:uid="{00000000-0005-0000-0000-000044160000}"/>
    <cellStyle name="Comma 92 3 3 2" xfId="5885" xr:uid="{00000000-0005-0000-0000-000045160000}"/>
    <cellStyle name="Comma 92 3 3 2 2" xfId="5886" xr:uid="{00000000-0005-0000-0000-000046160000}"/>
    <cellStyle name="Comma 92 3 3 3" xfId="5887" xr:uid="{00000000-0005-0000-0000-000047160000}"/>
    <cellStyle name="Comma 92 3 4" xfId="5888" xr:uid="{00000000-0005-0000-0000-000048160000}"/>
    <cellStyle name="Comma 92 3 4 2" xfId="5889" xr:uid="{00000000-0005-0000-0000-000049160000}"/>
    <cellStyle name="Comma 92 3 5" xfId="5890" xr:uid="{00000000-0005-0000-0000-00004A160000}"/>
    <cellStyle name="Comma 92 3 5 2" xfId="5891" xr:uid="{00000000-0005-0000-0000-00004B160000}"/>
    <cellStyle name="Comma 92 3 6" xfId="5892" xr:uid="{00000000-0005-0000-0000-00004C160000}"/>
    <cellStyle name="Comma 92 4" xfId="5893" xr:uid="{00000000-0005-0000-0000-00004D160000}"/>
    <cellStyle name="Comma 92 4 2" xfId="5894" xr:uid="{00000000-0005-0000-0000-00004E160000}"/>
    <cellStyle name="Comma 92 4 2 2" xfId="5895" xr:uid="{00000000-0005-0000-0000-00004F160000}"/>
    <cellStyle name="Comma 92 4 3" xfId="5896" xr:uid="{00000000-0005-0000-0000-000050160000}"/>
    <cellStyle name="Comma 92 4 3 2" xfId="5897" xr:uid="{00000000-0005-0000-0000-000051160000}"/>
    <cellStyle name="Comma 92 4 4" xfId="5898" xr:uid="{00000000-0005-0000-0000-000052160000}"/>
    <cellStyle name="Comma 92 5" xfId="5899" xr:uid="{00000000-0005-0000-0000-000053160000}"/>
    <cellStyle name="Comma 92 5 2" xfId="5900" xr:uid="{00000000-0005-0000-0000-000054160000}"/>
    <cellStyle name="Comma 92 5 2 2" xfId="5901" xr:uid="{00000000-0005-0000-0000-000055160000}"/>
    <cellStyle name="Comma 92 5 3" xfId="5902" xr:uid="{00000000-0005-0000-0000-000056160000}"/>
    <cellStyle name="Comma 92 6" xfId="5903" xr:uid="{00000000-0005-0000-0000-000057160000}"/>
    <cellStyle name="Comma 92 6 2" xfId="5904" xr:uid="{00000000-0005-0000-0000-000058160000}"/>
    <cellStyle name="Comma 92 7" xfId="5905" xr:uid="{00000000-0005-0000-0000-000059160000}"/>
    <cellStyle name="Comma 92 7 2" xfId="5906" xr:uid="{00000000-0005-0000-0000-00005A160000}"/>
    <cellStyle name="Comma 92 8" xfId="5907" xr:uid="{00000000-0005-0000-0000-00005B160000}"/>
    <cellStyle name="Comma 93" xfId="5908" xr:uid="{00000000-0005-0000-0000-00005C160000}"/>
    <cellStyle name="Comma 93 2" xfId="5909" xr:uid="{00000000-0005-0000-0000-00005D160000}"/>
    <cellStyle name="Comma 93 2 2" xfId="5910" xr:uid="{00000000-0005-0000-0000-00005E160000}"/>
    <cellStyle name="Comma 93 2 2 2" xfId="5911" xr:uid="{00000000-0005-0000-0000-00005F160000}"/>
    <cellStyle name="Comma 93 2 2 2 2" xfId="5912" xr:uid="{00000000-0005-0000-0000-000060160000}"/>
    <cellStyle name="Comma 93 2 2 2 2 2" xfId="5913" xr:uid="{00000000-0005-0000-0000-000061160000}"/>
    <cellStyle name="Comma 93 2 2 2 3" xfId="5914" xr:uid="{00000000-0005-0000-0000-000062160000}"/>
    <cellStyle name="Comma 93 2 2 2 3 2" xfId="5915" xr:uid="{00000000-0005-0000-0000-000063160000}"/>
    <cellStyle name="Comma 93 2 2 2 4" xfId="5916" xr:uid="{00000000-0005-0000-0000-000064160000}"/>
    <cellStyle name="Comma 93 2 2 3" xfId="5917" xr:uid="{00000000-0005-0000-0000-000065160000}"/>
    <cellStyle name="Comma 93 2 2 3 2" xfId="5918" xr:uid="{00000000-0005-0000-0000-000066160000}"/>
    <cellStyle name="Comma 93 2 2 3 2 2" xfId="5919" xr:uid="{00000000-0005-0000-0000-000067160000}"/>
    <cellStyle name="Comma 93 2 2 3 3" xfId="5920" xr:uid="{00000000-0005-0000-0000-000068160000}"/>
    <cellStyle name="Comma 93 2 2 4" xfId="5921" xr:uid="{00000000-0005-0000-0000-000069160000}"/>
    <cellStyle name="Comma 93 2 2 4 2" xfId="5922" xr:uid="{00000000-0005-0000-0000-00006A160000}"/>
    <cellStyle name="Comma 93 2 2 5" xfId="5923" xr:uid="{00000000-0005-0000-0000-00006B160000}"/>
    <cellStyle name="Comma 93 2 2 5 2" xfId="5924" xr:uid="{00000000-0005-0000-0000-00006C160000}"/>
    <cellStyle name="Comma 93 2 2 6" xfId="5925" xr:uid="{00000000-0005-0000-0000-00006D160000}"/>
    <cellStyle name="Comma 93 2 3" xfId="5926" xr:uid="{00000000-0005-0000-0000-00006E160000}"/>
    <cellStyle name="Comma 93 2 3 2" xfId="5927" xr:uid="{00000000-0005-0000-0000-00006F160000}"/>
    <cellStyle name="Comma 93 2 3 2 2" xfId="5928" xr:uid="{00000000-0005-0000-0000-000070160000}"/>
    <cellStyle name="Comma 93 2 3 3" xfId="5929" xr:uid="{00000000-0005-0000-0000-000071160000}"/>
    <cellStyle name="Comma 93 2 3 3 2" xfId="5930" xr:uid="{00000000-0005-0000-0000-000072160000}"/>
    <cellStyle name="Comma 93 2 3 4" xfId="5931" xr:uid="{00000000-0005-0000-0000-000073160000}"/>
    <cellStyle name="Comma 93 2 4" xfId="5932" xr:uid="{00000000-0005-0000-0000-000074160000}"/>
    <cellStyle name="Comma 93 2 4 2" xfId="5933" xr:uid="{00000000-0005-0000-0000-000075160000}"/>
    <cellStyle name="Comma 93 2 4 2 2" xfId="5934" xr:uid="{00000000-0005-0000-0000-000076160000}"/>
    <cellStyle name="Comma 93 2 4 3" xfId="5935" xr:uid="{00000000-0005-0000-0000-000077160000}"/>
    <cellStyle name="Comma 93 2 5" xfId="5936" xr:uid="{00000000-0005-0000-0000-000078160000}"/>
    <cellStyle name="Comma 93 2 5 2" xfId="5937" xr:uid="{00000000-0005-0000-0000-000079160000}"/>
    <cellStyle name="Comma 93 2 6" xfId="5938" xr:uid="{00000000-0005-0000-0000-00007A160000}"/>
    <cellStyle name="Comma 93 2 6 2" xfId="5939" xr:uid="{00000000-0005-0000-0000-00007B160000}"/>
    <cellStyle name="Comma 93 2 7" xfId="5940" xr:uid="{00000000-0005-0000-0000-00007C160000}"/>
    <cellStyle name="Comma 93 3" xfId="5941" xr:uid="{00000000-0005-0000-0000-00007D160000}"/>
    <cellStyle name="Comma 93 3 2" xfId="5942" xr:uid="{00000000-0005-0000-0000-00007E160000}"/>
    <cellStyle name="Comma 93 3 2 2" xfId="5943" xr:uid="{00000000-0005-0000-0000-00007F160000}"/>
    <cellStyle name="Comma 93 3 2 2 2" xfId="5944" xr:uid="{00000000-0005-0000-0000-000080160000}"/>
    <cellStyle name="Comma 93 3 2 3" xfId="5945" xr:uid="{00000000-0005-0000-0000-000081160000}"/>
    <cellStyle name="Comma 93 3 2 3 2" xfId="5946" xr:uid="{00000000-0005-0000-0000-000082160000}"/>
    <cellStyle name="Comma 93 3 2 4" xfId="5947" xr:uid="{00000000-0005-0000-0000-000083160000}"/>
    <cellStyle name="Comma 93 3 3" xfId="5948" xr:uid="{00000000-0005-0000-0000-000084160000}"/>
    <cellStyle name="Comma 93 3 3 2" xfId="5949" xr:uid="{00000000-0005-0000-0000-000085160000}"/>
    <cellStyle name="Comma 93 3 3 2 2" xfId="5950" xr:uid="{00000000-0005-0000-0000-000086160000}"/>
    <cellStyle name="Comma 93 3 3 3" xfId="5951" xr:uid="{00000000-0005-0000-0000-000087160000}"/>
    <cellStyle name="Comma 93 3 4" xfId="5952" xr:uid="{00000000-0005-0000-0000-000088160000}"/>
    <cellStyle name="Comma 93 3 4 2" xfId="5953" xr:uid="{00000000-0005-0000-0000-000089160000}"/>
    <cellStyle name="Comma 93 3 5" xfId="5954" xr:uid="{00000000-0005-0000-0000-00008A160000}"/>
    <cellStyle name="Comma 93 3 5 2" xfId="5955" xr:uid="{00000000-0005-0000-0000-00008B160000}"/>
    <cellStyle name="Comma 93 3 6" xfId="5956" xr:uid="{00000000-0005-0000-0000-00008C160000}"/>
    <cellStyle name="Comma 93 4" xfId="5957" xr:uid="{00000000-0005-0000-0000-00008D160000}"/>
    <cellStyle name="Comma 93 4 2" xfId="5958" xr:uid="{00000000-0005-0000-0000-00008E160000}"/>
    <cellStyle name="Comma 93 4 2 2" xfId="5959" xr:uid="{00000000-0005-0000-0000-00008F160000}"/>
    <cellStyle name="Comma 93 4 3" xfId="5960" xr:uid="{00000000-0005-0000-0000-000090160000}"/>
    <cellStyle name="Comma 93 4 3 2" xfId="5961" xr:uid="{00000000-0005-0000-0000-000091160000}"/>
    <cellStyle name="Comma 93 4 4" xfId="5962" xr:uid="{00000000-0005-0000-0000-000092160000}"/>
    <cellStyle name="Comma 93 5" xfId="5963" xr:uid="{00000000-0005-0000-0000-000093160000}"/>
    <cellStyle name="Comma 93 5 2" xfId="5964" xr:uid="{00000000-0005-0000-0000-000094160000}"/>
    <cellStyle name="Comma 93 5 2 2" xfId="5965" xr:uid="{00000000-0005-0000-0000-000095160000}"/>
    <cellStyle name="Comma 93 5 3" xfId="5966" xr:uid="{00000000-0005-0000-0000-000096160000}"/>
    <cellStyle name="Comma 93 6" xfId="5967" xr:uid="{00000000-0005-0000-0000-000097160000}"/>
    <cellStyle name="Comma 93 6 2" xfId="5968" xr:uid="{00000000-0005-0000-0000-000098160000}"/>
    <cellStyle name="Comma 93 7" xfId="5969" xr:uid="{00000000-0005-0000-0000-000099160000}"/>
    <cellStyle name="Comma 93 7 2" xfId="5970" xr:uid="{00000000-0005-0000-0000-00009A160000}"/>
    <cellStyle name="Comma 93 8" xfId="5971" xr:uid="{00000000-0005-0000-0000-00009B160000}"/>
    <cellStyle name="Comma 94" xfId="5972" xr:uid="{00000000-0005-0000-0000-00009C160000}"/>
    <cellStyle name="Comma 94 2" xfId="5973" xr:uid="{00000000-0005-0000-0000-00009D160000}"/>
    <cellStyle name="Comma 94 2 2" xfId="5974" xr:uid="{00000000-0005-0000-0000-00009E160000}"/>
    <cellStyle name="Comma 94 2 2 2" xfId="5975" xr:uid="{00000000-0005-0000-0000-00009F160000}"/>
    <cellStyle name="Comma 94 2 2 2 2" xfId="5976" xr:uid="{00000000-0005-0000-0000-0000A0160000}"/>
    <cellStyle name="Comma 94 2 2 2 2 2" xfId="5977" xr:uid="{00000000-0005-0000-0000-0000A1160000}"/>
    <cellStyle name="Comma 94 2 2 2 3" xfId="5978" xr:uid="{00000000-0005-0000-0000-0000A2160000}"/>
    <cellStyle name="Comma 94 2 2 2 3 2" xfId="5979" xr:uid="{00000000-0005-0000-0000-0000A3160000}"/>
    <cellStyle name="Comma 94 2 2 2 4" xfId="5980" xr:uid="{00000000-0005-0000-0000-0000A4160000}"/>
    <cellStyle name="Comma 94 2 2 3" xfId="5981" xr:uid="{00000000-0005-0000-0000-0000A5160000}"/>
    <cellStyle name="Comma 94 2 2 3 2" xfId="5982" xr:uid="{00000000-0005-0000-0000-0000A6160000}"/>
    <cellStyle name="Comma 94 2 2 3 2 2" xfId="5983" xr:uid="{00000000-0005-0000-0000-0000A7160000}"/>
    <cellStyle name="Comma 94 2 2 3 3" xfId="5984" xr:uid="{00000000-0005-0000-0000-0000A8160000}"/>
    <cellStyle name="Comma 94 2 2 4" xfId="5985" xr:uid="{00000000-0005-0000-0000-0000A9160000}"/>
    <cellStyle name="Comma 94 2 2 4 2" xfId="5986" xr:uid="{00000000-0005-0000-0000-0000AA160000}"/>
    <cellStyle name="Comma 94 2 2 5" xfId="5987" xr:uid="{00000000-0005-0000-0000-0000AB160000}"/>
    <cellStyle name="Comma 94 2 2 5 2" xfId="5988" xr:uid="{00000000-0005-0000-0000-0000AC160000}"/>
    <cellStyle name="Comma 94 2 2 6" xfId="5989" xr:uid="{00000000-0005-0000-0000-0000AD160000}"/>
    <cellStyle name="Comma 94 2 3" xfId="5990" xr:uid="{00000000-0005-0000-0000-0000AE160000}"/>
    <cellStyle name="Comma 94 2 3 2" xfId="5991" xr:uid="{00000000-0005-0000-0000-0000AF160000}"/>
    <cellStyle name="Comma 94 2 3 2 2" xfId="5992" xr:uid="{00000000-0005-0000-0000-0000B0160000}"/>
    <cellStyle name="Comma 94 2 3 3" xfId="5993" xr:uid="{00000000-0005-0000-0000-0000B1160000}"/>
    <cellStyle name="Comma 94 2 3 3 2" xfId="5994" xr:uid="{00000000-0005-0000-0000-0000B2160000}"/>
    <cellStyle name="Comma 94 2 3 4" xfId="5995" xr:uid="{00000000-0005-0000-0000-0000B3160000}"/>
    <cellStyle name="Comma 94 2 4" xfId="5996" xr:uid="{00000000-0005-0000-0000-0000B4160000}"/>
    <cellStyle name="Comma 94 2 4 2" xfId="5997" xr:uid="{00000000-0005-0000-0000-0000B5160000}"/>
    <cellStyle name="Comma 94 2 4 2 2" xfId="5998" xr:uid="{00000000-0005-0000-0000-0000B6160000}"/>
    <cellStyle name="Comma 94 2 4 3" xfId="5999" xr:uid="{00000000-0005-0000-0000-0000B7160000}"/>
    <cellStyle name="Comma 94 2 5" xfId="6000" xr:uid="{00000000-0005-0000-0000-0000B8160000}"/>
    <cellStyle name="Comma 94 2 5 2" xfId="6001" xr:uid="{00000000-0005-0000-0000-0000B9160000}"/>
    <cellStyle name="Comma 94 2 6" xfId="6002" xr:uid="{00000000-0005-0000-0000-0000BA160000}"/>
    <cellStyle name="Comma 94 2 6 2" xfId="6003" xr:uid="{00000000-0005-0000-0000-0000BB160000}"/>
    <cellStyle name="Comma 94 2 7" xfId="6004" xr:uid="{00000000-0005-0000-0000-0000BC160000}"/>
    <cellStyle name="Comma 94 3" xfId="6005" xr:uid="{00000000-0005-0000-0000-0000BD160000}"/>
    <cellStyle name="Comma 94 3 2" xfId="6006" xr:uid="{00000000-0005-0000-0000-0000BE160000}"/>
    <cellStyle name="Comma 94 3 2 2" xfId="6007" xr:uid="{00000000-0005-0000-0000-0000BF160000}"/>
    <cellStyle name="Comma 94 3 2 2 2" xfId="6008" xr:uid="{00000000-0005-0000-0000-0000C0160000}"/>
    <cellStyle name="Comma 94 3 2 3" xfId="6009" xr:uid="{00000000-0005-0000-0000-0000C1160000}"/>
    <cellStyle name="Comma 94 3 2 3 2" xfId="6010" xr:uid="{00000000-0005-0000-0000-0000C2160000}"/>
    <cellStyle name="Comma 94 3 2 4" xfId="6011" xr:uid="{00000000-0005-0000-0000-0000C3160000}"/>
    <cellStyle name="Comma 94 3 3" xfId="6012" xr:uid="{00000000-0005-0000-0000-0000C4160000}"/>
    <cellStyle name="Comma 94 3 3 2" xfId="6013" xr:uid="{00000000-0005-0000-0000-0000C5160000}"/>
    <cellStyle name="Comma 94 3 3 2 2" xfId="6014" xr:uid="{00000000-0005-0000-0000-0000C6160000}"/>
    <cellStyle name="Comma 94 3 3 3" xfId="6015" xr:uid="{00000000-0005-0000-0000-0000C7160000}"/>
    <cellStyle name="Comma 94 3 4" xfId="6016" xr:uid="{00000000-0005-0000-0000-0000C8160000}"/>
    <cellStyle name="Comma 94 3 4 2" xfId="6017" xr:uid="{00000000-0005-0000-0000-0000C9160000}"/>
    <cellStyle name="Comma 94 3 5" xfId="6018" xr:uid="{00000000-0005-0000-0000-0000CA160000}"/>
    <cellStyle name="Comma 94 3 5 2" xfId="6019" xr:uid="{00000000-0005-0000-0000-0000CB160000}"/>
    <cellStyle name="Comma 94 3 6" xfId="6020" xr:uid="{00000000-0005-0000-0000-0000CC160000}"/>
    <cellStyle name="Comma 94 4" xfId="6021" xr:uid="{00000000-0005-0000-0000-0000CD160000}"/>
    <cellStyle name="Comma 94 4 2" xfId="6022" xr:uid="{00000000-0005-0000-0000-0000CE160000}"/>
    <cellStyle name="Comma 94 4 2 2" xfId="6023" xr:uid="{00000000-0005-0000-0000-0000CF160000}"/>
    <cellStyle name="Comma 94 4 3" xfId="6024" xr:uid="{00000000-0005-0000-0000-0000D0160000}"/>
    <cellStyle name="Comma 94 4 3 2" xfId="6025" xr:uid="{00000000-0005-0000-0000-0000D1160000}"/>
    <cellStyle name="Comma 94 4 4" xfId="6026" xr:uid="{00000000-0005-0000-0000-0000D2160000}"/>
    <cellStyle name="Comma 94 5" xfId="6027" xr:uid="{00000000-0005-0000-0000-0000D3160000}"/>
    <cellStyle name="Comma 94 5 2" xfId="6028" xr:uid="{00000000-0005-0000-0000-0000D4160000}"/>
    <cellStyle name="Comma 94 5 2 2" xfId="6029" xr:uid="{00000000-0005-0000-0000-0000D5160000}"/>
    <cellStyle name="Comma 94 5 3" xfId="6030" xr:uid="{00000000-0005-0000-0000-0000D6160000}"/>
    <cellStyle name="Comma 94 6" xfId="6031" xr:uid="{00000000-0005-0000-0000-0000D7160000}"/>
    <cellStyle name="Comma 94 6 2" xfId="6032" xr:uid="{00000000-0005-0000-0000-0000D8160000}"/>
    <cellStyle name="Comma 94 7" xfId="6033" xr:uid="{00000000-0005-0000-0000-0000D9160000}"/>
    <cellStyle name="Comma 94 7 2" xfId="6034" xr:uid="{00000000-0005-0000-0000-0000DA160000}"/>
    <cellStyle name="Comma 94 8" xfId="6035" xr:uid="{00000000-0005-0000-0000-0000DB160000}"/>
    <cellStyle name="Comma 95" xfId="6036" xr:uid="{00000000-0005-0000-0000-0000DC160000}"/>
    <cellStyle name="Comma 95 2" xfId="6037" xr:uid="{00000000-0005-0000-0000-0000DD160000}"/>
    <cellStyle name="Comma 95 3" xfId="6038" xr:uid="{00000000-0005-0000-0000-0000DE160000}"/>
    <cellStyle name="Comma 95 3 2" xfId="6039" xr:uid="{00000000-0005-0000-0000-0000DF160000}"/>
    <cellStyle name="Comma 95 4" xfId="6040" xr:uid="{00000000-0005-0000-0000-0000E0160000}"/>
    <cellStyle name="Comma 95 5" xfId="6041" xr:uid="{00000000-0005-0000-0000-0000E1160000}"/>
    <cellStyle name="Comma 95 6" xfId="6042" xr:uid="{00000000-0005-0000-0000-0000E2160000}"/>
    <cellStyle name="Comma 96" xfId="6043" xr:uid="{00000000-0005-0000-0000-0000E3160000}"/>
    <cellStyle name="Comma 96 2" xfId="6044" xr:uid="{00000000-0005-0000-0000-0000E4160000}"/>
    <cellStyle name="Comma 97" xfId="6045" xr:uid="{00000000-0005-0000-0000-0000E5160000}"/>
    <cellStyle name="Comma 97 2" xfId="6046" xr:uid="{00000000-0005-0000-0000-0000E6160000}"/>
    <cellStyle name="Comma 98" xfId="6047" xr:uid="{00000000-0005-0000-0000-0000E7160000}"/>
    <cellStyle name="Comma 98 2" xfId="6048" xr:uid="{00000000-0005-0000-0000-0000E8160000}"/>
    <cellStyle name="Comma 98 2 2" xfId="6049" xr:uid="{00000000-0005-0000-0000-0000E9160000}"/>
    <cellStyle name="Comma 98 3" xfId="6050" xr:uid="{00000000-0005-0000-0000-0000EA160000}"/>
    <cellStyle name="Comma 98 3 2" xfId="6051" xr:uid="{00000000-0005-0000-0000-0000EB160000}"/>
    <cellStyle name="Comma 98 4" xfId="6052" xr:uid="{00000000-0005-0000-0000-0000EC160000}"/>
    <cellStyle name="Comma 98 4 2" xfId="6053" xr:uid="{00000000-0005-0000-0000-0000ED160000}"/>
    <cellStyle name="Comma 98 5" xfId="6054" xr:uid="{00000000-0005-0000-0000-0000EE160000}"/>
    <cellStyle name="Comma 98 5 2" xfId="6055" xr:uid="{00000000-0005-0000-0000-0000EF160000}"/>
    <cellStyle name="Comma 98 6" xfId="6056" xr:uid="{00000000-0005-0000-0000-0000F0160000}"/>
    <cellStyle name="Comma 99" xfId="6057" xr:uid="{00000000-0005-0000-0000-0000F1160000}"/>
    <cellStyle name="Comma 99 2" xfId="6058" xr:uid="{00000000-0005-0000-0000-0000F2160000}"/>
    <cellStyle name="Comma Cents" xfId="6059" xr:uid="{00000000-0005-0000-0000-0000F3160000}"/>
    <cellStyle name="Comma Input" xfId="6060" xr:uid="{00000000-0005-0000-0000-0000F4160000}"/>
    <cellStyle name="Comma with Sum line" xfId="6061" xr:uid="{00000000-0005-0000-0000-0000F5160000}"/>
    <cellStyle name="comma zerodec" xfId="6062" xr:uid="{00000000-0005-0000-0000-0000F6160000}"/>
    <cellStyle name="Comma*" xfId="6063" xr:uid="{00000000-0005-0000-0000-0000F7160000}"/>
    <cellStyle name="Comma0" xfId="6064" xr:uid="{00000000-0005-0000-0000-0000F8160000}"/>
    <cellStyle name="Comma0 - Modelo1" xfId="6065" xr:uid="{00000000-0005-0000-0000-0000F9160000}"/>
    <cellStyle name="Comma0 - Style1" xfId="6066" xr:uid="{00000000-0005-0000-0000-0000FA160000}"/>
    <cellStyle name="Comma0 - Style4" xfId="6067" xr:uid="{00000000-0005-0000-0000-0000FB160000}"/>
    <cellStyle name="Comma0 2" xfId="6068" xr:uid="{00000000-0005-0000-0000-0000FC160000}"/>
    <cellStyle name="Comma1 - Modelo2" xfId="6069" xr:uid="{00000000-0005-0000-0000-0000FD160000}"/>
    <cellStyle name="Comma1 - Style2" xfId="6070" xr:uid="{00000000-0005-0000-0000-0000FE160000}"/>
    <cellStyle name="Comma2" xfId="6071" xr:uid="{00000000-0005-0000-0000-0000FF160000}"/>
    <cellStyle name="Company" xfId="6072" xr:uid="{00000000-0005-0000-0000-000000170000}"/>
    <cellStyle name="Company Name" xfId="6073" xr:uid="{00000000-0005-0000-0000-000001170000}"/>
    <cellStyle name="Company_~7576084" xfId="6074" xr:uid="{00000000-0005-0000-0000-000002170000}"/>
    <cellStyle name="CompanyName" xfId="6075" xr:uid="{00000000-0005-0000-0000-000003170000}"/>
    <cellStyle name="Copied" xfId="6076" xr:uid="{00000000-0005-0000-0000-000004170000}"/>
    <cellStyle name="COST1" xfId="6077" xr:uid="{00000000-0005-0000-0000-000005170000}"/>
    <cellStyle name="CurRatio" xfId="6078" xr:uid="{00000000-0005-0000-0000-000006170000}"/>
    <cellStyle name="Curren - Style1" xfId="6079" xr:uid="{00000000-0005-0000-0000-000007170000}"/>
    <cellStyle name="Curren - Style2" xfId="6080" xr:uid="{00000000-0005-0000-0000-000008170000}"/>
    <cellStyle name="Currency" xfId="16893" builtinId="4"/>
    <cellStyle name="Currency [0] Total" xfId="6081" xr:uid="{00000000-0005-0000-0000-00000A170000}"/>
    <cellStyle name="Currency [0] Total 2" xfId="6082" xr:uid="{00000000-0005-0000-0000-00000B170000}"/>
    <cellStyle name="Currency [0] Total 2 2" xfId="16800" xr:uid="{00000000-0005-0000-0000-00000C170000}"/>
    <cellStyle name="Currency [0] Total 3" xfId="16799" xr:uid="{00000000-0005-0000-0000-00000D170000}"/>
    <cellStyle name="Currency [00]" xfId="82" xr:uid="{00000000-0005-0000-0000-00000E170000}"/>
    <cellStyle name="Currency [1]" xfId="6083" xr:uid="{00000000-0005-0000-0000-00000F170000}"/>
    <cellStyle name="Currency [2]" xfId="6084" xr:uid="{00000000-0005-0000-0000-000010170000}"/>
    <cellStyle name="Currency [2] Total" xfId="6085" xr:uid="{00000000-0005-0000-0000-000011170000}"/>
    <cellStyle name="Currency [2] Total 2" xfId="6086" xr:uid="{00000000-0005-0000-0000-000012170000}"/>
    <cellStyle name="Currency [2] Total 2 2" xfId="16802" xr:uid="{00000000-0005-0000-0000-000013170000}"/>
    <cellStyle name="Currency [2] Total 3" xfId="16801" xr:uid="{00000000-0005-0000-0000-000014170000}"/>
    <cellStyle name="Currency [2]_Bally Total Fitness LBO v4.4" xfId="6087" xr:uid="{00000000-0005-0000-0000-000015170000}"/>
    <cellStyle name="Currency [3]" xfId="6088" xr:uid="{00000000-0005-0000-0000-000016170000}"/>
    <cellStyle name="Currency 0" xfId="6089" xr:uid="{00000000-0005-0000-0000-000017170000}"/>
    <cellStyle name="Currency 0.0" xfId="6090" xr:uid="{00000000-0005-0000-0000-000018170000}"/>
    <cellStyle name="Currency 0.00" xfId="6091" xr:uid="{00000000-0005-0000-0000-000019170000}"/>
    <cellStyle name="Currency 0.000" xfId="6092" xr:uid="{00000000-0005-0000-0000-00001A170000}"/>
    <cellStyle name="Currency 0.0000" xfId="6093" xr:uid="{00000000-0005-0000-0000-00001B170000}"/>
    <cellStyle name="Currency 0_~7002754" xfId="6094" xr:uid="{00000000-0005-0000-0000-00001C170000}"/>
    <cellStyle name="Currency 10" xfId="83" xr:uid="{00000000-0005-0000-0000-00001D170000}"/>
    <cellStyle name="Currency 10 2" xfId="6095" xr:uid="{00000000-0005-0000-0000-00001E170000}"/>
    <cellStyle name="Currency 10 2 2" xfId="286" xr:uid="{00000000-0005-0000-0000-00001F170000}"/>
    <cellStyle name="Currency 10 2 2 2" xfId="6096" xr:uid="{00000000-0005-0000-0000-000020170000}"/>
    <cellStyle name="Currency 10 2 2 2 2" xfId="6097" xr:uid="{00000000-0005-0000-0000-000021170000}"/>
    <cellStyle name="Currency 10 2 2 2 2 2" xfId="6098" xr:uid="{00000000-0005-0000-0000-000022170000}"/>
    <cellStyle name="Currency 10 2 2 2 2 2 2" xfId="6099" xr:uid="{00000000-0005-0000-0000-000023170000}"/>
    <cellStyle name="Currency 10 2 2 2 2 3" xfId="6100" xr:uid="{00000000-0005-0000-0000-000024170000}"/>
    <cellStyle name="Currency 10 2 2 2 2 3 2" xfId="6101" xr:uid="{00000000-0005-0000-0000-000025170000}"/>
    <cellStyle name="Currency 10 2 2 2 2 4" xfId="6102" xr:uid="{00000000-0005-0000-0000-000026170000}"/>
    <cellStyle name="Currency 10 2 2 2 3" xfId="6103" xr:uid="{00000000-0005-0000-0000-000027170000}"/>
    <cellStyle name="Currency 10 2 2 2 3 2" xfId="6104" xr:uid="{00000000-0005-0000-0000-000028170000}"/>
    <cellStyle name="Currency 10 2 2 2 3 2 2" xfId="6105" xr:uid="{00000000-0005-0000-0000-000029170000}"/>
    <cellStyle name="Currency 10 2 2 2 3 3" xfId="6106" xr:uid="{00000000-0005-0000-0000-00002A170000}"/>
    <cellStyle name="Currency 10 2 2 2 4" xfId="6107" xr:uid="{00000000-0005-0000-0000-00002B170000}"/>
    <cellStyle name="Currency 10 2 2 2 4 2" xfId="6108" xr:uid="{00000000-0005-0000-0000-00002C170000}"/>
    <cellStyle name="Currency 10 2 2 2 5" xfId="6109" xr:uid="{00000000-0005-0000-0000-00002D170000}"/>
    <cellStyle name="Currency 10 2 2 2 5 2" xfId="6110" xr:uid="{00000000-0005-0000-0000-00002E170000}"/>
    <cellStyle name="Currency 10 2 2 2 6" xfId="6111" xr:uid="{00000000-0005-0000-0000-00002F170000}"/>
    <cellStyle name="Currency 10 2 2 3" xfId="6112" xr:uid="{00000000-0005-0000-0000-000030170000}"/>
    <cellStyle name="Currency 10 2 2 3 2" xfId="6113" xr:uid="{00000000-0005-0000-0000-000031170000}"/>
    <cellStyle name="Currency 10 2 2 3 2 2" xfId="6114" xr:uid="{00000000-0005-0000-0000-000032170000}"/>
    <cellStyle name="Currency 10 2 2 3 3" xfId="6115" xr:uid="{00000000-0005-0000-0000-000033170000}"/>
    <cellStyle name="Currency 10 2 2 3 3 2" xfId="6116" xr:uid="{00000000-0005-0000-0000-000034170000}"/>
    <cellStyle name="Currency 10 2 2 3 4" xfId="6117" xr:uid="{00000000-0005-0000-0000-000035170000}"/>
    <cellStyle name="Currency 10 2 2 4" xfId="6118" xr:uid="{00000000-0005-0000-0000-000036170000}"/>
    <cellStyle name="Currency 10 2 2 4 2" xfId="6119" xr:uid="{00000000-0005-0000-0000-000037170000}"/>
    <cellStyle name="Currency 10 2 2 4 2 2" xfId="6120" xr:uid="{00000000-0005-0000-0000-000038170000}"/>
    <cellStyle name="Currency 10 2 2 4 3" xfId="6121" xr:uid="{00000000-0005-0000-0000-000039170000}"/>
    <cellStyle name="Currency 10 2 2 5" xfId="6122" xr:uid="{00000000-0005-0000-0000-00003A170000}"/>
    <cellStyle name="Currency 10 2 2 5 2" xfId="6123" xr:uid="{00000000-0005-0000-0000-00003B170000}"/>
    <cellStyle name="Currency 10 2 2 6" xfId="6124" xr:uid="{00000000-0005-0000-0000-00003C170000}"/>
    <cellStyle name="Currency 10 2 2 6 2" xfId="6125" xr:uid="{00000000-0005-0000-0000-00003D170000}"/>
    <cellStyle name="Currency 10 2 2 7" xfId="6126" xr:uid="{00000000-0005-0000-0000-00003E170000}"/>
    <cellStyle name="Currency 10 2 3" xfId="6127" xr:uid="{00000000-0005-0000-0000-00003F170000}"/>
    <cellStyle name="Currency 10 2 3 2" xfId="6128" xr:uid="{00000000-0005-0000-0000-000040170000}"/>
    <cellStyle name="Currency 10 2 3 2 2" xfId="6129" xr:uid="{00000000-0005-0000-0000-000041170000}"/>
    <cellStyle name="Currency 10 2 3 2 2 2" xfId="6130" xr:uid="{00000000-0005-0000-0000-000042170000}"/>
    <cellStyle name="Currency 10 2 3 2 2 2 2" xfId="6131" xr:uid="{00000000-0005-0000-0000-000043170000}"/>
    <cellStyle name="Currency 10 2 3 2 2 3" xfId="6132" xr:uid="{00000000-0005-0000-0000-000044170000}"/>
    <cellStyle name="Currency 10 2 3 2 2 3 2" xfId="6133" xr:uid="{00000000-0005-0000-0000-000045170000}"/>
    <cellStyle name="Currency 10 2 3 2 2 4" xfId="6134" xr:uid="{00000000-0005-0000-0000-000046170000}"/>
    <cellStyle name="Currency 10 2 3 2 3" xfId="6135" xr:uid="{00000000-0005-0000-0000-000047170000}"/>
    <cellStyle name="Currency 10 2 3 2 3 2" xfId="6136" xr:uid="{00000000-0005-0000-0000-000048170000}"/>
    <cellStyle name="Currency 10 2 3 2 3 2 2" xfId="6137" xr:uid="{00000000-0005-0000-0000-000049170000}"/>
    <cellStyle name="Currency 10 2 3 2 3 3" xfId="6138" xr:uid="{00000000-0005-0000-0000-00004A170000}"/>
    <cellStyle name="Currency 10 2 3 2 4" xfId="6139" xr:uid="{00000000-0005-0000-0000-00004B170000}"/>
    <cellStyle name="Currency 10 2 3 2 4 2" xfId="6140" xr:uid="{00000000-0005-0000-0000-00004C170000}"/>
    <cellStyle name="Currency 10 2 3 2 5" xfId="6141" xr:uid="{00000000-0005-0000-0000-00004D170000}"/>
    <cellStyle name="Currency 10 2 3 2 5 2" xfId="6142" xr:uid="{00000000-0005-0000-0000-00004E170000}"/>
    <cellStyle name="Currency 10 2 3 2 6" xfId="6143" xr:uid="{00000000-0005-0000-0000-00004F170000}"/>
    <cellStyle name="Currency 10 2 3 3" xfId="6144" xr:uid="{00000000-0005-0000-0000-000050170000}"/>
    <cellStyle name="Currency 10 2 3 3 2" xfId="6145" xr:uid="{00000000-0005-0000-0000-000051170000}"/>
    <cellStyle name="Currency 10 2 3 3 2 2" xfId="6146" xr:uid="{00000000-0005-0000-0000-000052170000}"/>
    <cellStyle name="Currency 10 2 3 3 3" xfId="6147" xr:uid="{00000000-0005-0000-0000-000053170000}"/>
    <cellStyle name="Currency 10 2 3 3 3 2" xfId="6148" xr:uid="{00000000-0005-0000-0000-000054170000}"/>
    <cellStyle name="Currency 10 2 3 3 4" xfId="6149" xr:uid="{00000000-0005-0000-0000-000055170000}"/>
    <cellStyle name="Currency 10 2 3 4" xfId="6150" xr:uid="{00000000-0005-0000-0000-000056170000}"/>
    <cellStyle name="Currency 10 2 3 4 2" xfId="6151" xr:uid="{00000000-0005-0000-0000-000057170000}"/>
    <cellStyle name="Currency 10 2 3 4 2 2" xfId="6152" xr:uid="{00000000-0005-0000-0000-000058170000}"/>
    <cellStyle name="Currency 10 2 3 4 3" xfId="6153" xr:uid="{00000000-0005-0000-0000-000059170000}"/>
    <cellStyle name="Currency 10 2 3 5" xfId="6154" xr:uid="{00000000-0005-0000-0000-00005A170000}"/>
    <cellStyle name="Currency 10 2 3 5 2" xfId="6155" xr:uid="{00000000-0005-0000-0000-00005B170000}"/>
    <cellStyle name="Currency 10 2 3 6" xfId="6156" xr:uid="{00000000-0005-0000-0000-00005C170000}"/>
    <cellStyle name="Currency 10 2 3 6 2" xfId="6157" xr:uid="{00000000-0005-0000-0000-00005D170000}"/>
    <cellStyle name="Currency 10 2 3 7" xfId="6158" xr:uid="{00000000-0005-0000-0000-00005E170000}"/>
    <cellStyle name="Currency 10 3" xfId="6159" xr:uid="{00000000-0005-0000-0000-00005F170000}"/>
    <cellStyle name="Currency 10 3 2" xfId="6160" xr:uid="{00000000-0005-0000-0000-000060170000}"/>
    <cellStyle name="Currency 10 3 2 2" xfId="6161" xr:uid="{00000000-0005-0000-0000-000061170000}"/>
    <cellStyle name="Currency 10 3 2 2 2" xfId="6162" xr:uid="{00000000-0005-0000-0000-000062170000}"/>
    <cellStyle name="Currency 10 3 2 2 2 2" xfId="6163" xr:uid="{00000000-0005-0000-0000-000063170000}"/>
    <cellStyle name="Currency 10 3 2 2 3" xfId="6164" xr:uid="{00000000-0005-0000-0000-000064170000}"/>
    <cellStyle name="Currency 10 3 2 2 3 2" xfId="6165" xr:uid="{00000000-0005-0000-0000-000065170000}"/>
    <cellStyle name="Currency 10 3 2 2 4" xfId="6166" xr:uid="{00000000-0005-0000-0000-000066170000}"/>
    <cellStyle name="Currency 10 3 2 3" xfId="6167" xr:uid="{00000000-0005-0000-0000-000067170000}"/>
    <cellStyle name="Currency 10 3 2 3 2" xfId="6168" xr:uid="{00000000-0005-0000-0000-000068170000}"/>
    <cellStyle name="Currency 10 3 2 3 2 2" xfId="6169" xr:uid="{00000000-0005-0000-0000-000069170000}"/>
    <cellStyle name="Currency 10 3 2 3 3" xfId="6170" xr:uid="{00000000-0005-0000-0000-00006A170000}"/>
    <cellStyle name="Currency 10 3 2 4" xfId="6171" xr:uid="{00000000-0005-0000-0000-00006B170000}"/>
    <cellStyle name="Currency 10 3 2 4 2" xfId="6172" xr:uid="{00000000-0005-0000-0000-00006C170000}"/>
    <cellStyle name="Currency 10 3 2 5" xfId="6173" xr:uid="{00000000-0005-0000-0000-00006D170000}"/>
    <cellStyle name="Currency 10 3 2 5 2" xfId="6174" xr:uid="{00000000-0005-0000-0000-00006E170000}"/>
    <cellStyle name="Currency 10 3 2 6" xfId="6175" xr:uid="{00000000-0005-0000-0000-00006F170000}"/>
    <cellStyle name="Currency 10 3 3" xfId="6176" xr:uid="{00000000-0005-0000-0000-000070170000}"/>
    <cellStyle name="Currency 10 3 3 2" xfId="6177" xr:uid="{00000000-0005-0000-0000-000071170000}"/>
    <cellStyle name="Currency 10 3 3 2 2" xfId="6178" xr:uid="{00000000-0005-0000-0000-000072170000}"/>
    <cellStyle name="Currency 10 3 3 3" xfId="6179" xr:uid="{00000000-0005-0000-0000-000073170000}"/>
    <cellStyle name="Currency 10 3 3 3 2" xfId="6180" xr:uid="{00000000-0005-0000-0000-000074170000}"/>
    <cellStyle name="Currency 10 3 3 4" xfId="6181" xr:uid="{00000000-0005-0000-0000-000075170000}"/>
    <cellStyle name="Currency 10 3 4" xfId="6182" xr:uid="{00000000-0005-0000-0000-000076170000}"/>
    <cellStyle name="Currency 10 3 4 2" xfId="6183" xr:uid="{00000000-0005-0000-0000-000077170000}"/>
    <cellStyle name="Currency 10 3 4 2 2" xfId="6184" xr:uid="{00000000-0005-0000-0000-000078170000}"/>
    <cellStyle name="Currency 10 3 4 3" xfId="6185" xr:uid="{00000000-0005-0000-0000-000079170000}"/>
    <cellStyle name="Currency 10 3 5" xfId="6186" xr:uid="{00000000-0005-0000-0000-00007A170000}"/>
    <cellStyle name="Currency 10 3 5 2" xfId="6187" xr:uid="{00000000-0005-0000-0000-00007B170000}"/>
    <cellStyle name="Currency 10 3 6" xfId="6188" xr:uid="{00000000-0005-0000-0000-00007C170000}"/>
    <cellStyle name="Currency 10 3 6 2" xfId="6189" xr:uid="{00000000-0005-0000-0000-00007D170000}"/>
    <cellStyle name="Currency 10 3 7" xfId="6190" xr:uid="{00000000-0005-0000-0000-00007E170000}"/>
    <cellStyle name="Currency 10 4" xfId="6191" xr:uid="{00000000-0005-0000-0000-00007F170000}"/>
    <cellStyle name="Currency 10 4 2" xfId="6192" xr:uid="{00000000-0005-0000-0000-000080170000}"/>
    <cellStyle name="Currency 10 4 2 2" xfId="6193" xr:uid="{00000000-0005-0000-0000-000081170000}"/>
    <cellStyle name="Currency 10 4 2 2 2" xfId="6194" xr:uid="{00000000-0005-0000-0000-000082170000}"/>
    <cellStyle name="Currency 10 4 2 2 2 2" xfId="6195" xr:uid="{00000000-0005-0000-0000-000083170000}"/>
    <cellStyle name="Currency 10 4 2 2 3" xfId="6196" xr:uid="{00000000-0005-0000-0000-000084170000}"/>
    <cellStyle name="Currency 10 4 2 2 3 2" xfId="6197" xr:uid="{00000000-0005-0000-0000-000085170000}"/>
    <cellStyle name="Currency 10 4 2 2 4" xfId="6198" xr:uid="{00000000-0005-0000-0000-000086170000}"/>
    <cellStyle name="Currency 10 4 2 3" xfId="6199" xr:uid="{00000000-0005-0000-0000-000087170000}"/>
    <cellStyle name="Currency 10 4 2 3 2" xfId="6200" xr:uid="{00000000-0005-0000-0000-000088170000}"/>
    <cellStyle name="Currency 10 4 2 3 2 2" xfId="6201" xr:uid="{00000000-0005-0000-0000-000089170000}"/>
    <cellStyle name="Currency 10 4 2 3 3" xfId="6202" xr:uid="{00000000-0005-0000-0000-00008A170000}"/>
    <cellStyle name="Currency 10 4 2 4" xfId="6203" xr:uid="{00000000-0005-0000-0000-00008B170000}"/>
    <cellStyle name="Currency 10 4 2 4 2" xfId="6204" xr:uid="{00000000-0005-0000-0000-00008C170000}"/>
    <cellStyle name="Currency 10 4 2 5" xfId="6205" xr:uid="{00000000-0005-0000-0000-00008D170000}"/>
    <cellStyle name="Currency 10 4 2 5 2" xfId="6206" xr:uid="{00000000-0005-0000-0000-00008E170000}"/>
    <cellStyle name="Currency 10 4 2 6" xfId="6207" xr:uid="{00000000-0005-0000-0000-00008F170000}"/>
    <cellStyle name="Currency 10 4 3" xfId="6208" xr:uid="{00000000-0005-0000-0000-000090170000}"/>
    <cellStyle name="Currency 10 4 3 2" xfId="6209" xr:uid="{00000000-0005-0000-0000-000091170000}"/>
    <cellStyle name="Currency 10 4 3 2 2" xfId="6210" xr:uid="{00000000-0005-0000-0000-000092170000}"/>
    <cellStyle name="Currency 10 4 3 3" xfId="6211" xr:uid="{00000000-0005-0000-0000-000093170000}"/>
    <cellStyle name="Currency 10 4 3 3 2" xfId="6212" xr:uid="{00000000-0005-0000-0000-000094170000}"/>
    <cellStyle name="Currency 10 4 3 4" xfId="6213" xr:uid="{00000000-0005-0000-0000-000095170000}"/>
    <cellStyle name="Currency 10 4 4" xfId="6214" xr:uid="{00000000-0005-0000-0000-000096170000}"/>
    <cellStyle name="Currency 10 4 4 2" xfId="6215" xr:uid="{00000000-0005-0000-0000-000097170000}"/>
    <cellStyle name="Currency 10 4 4 2 2" xfId="6216" xr:uid="{00000000-0005-0000-0000-000098170000}"/>
    <cellStyle name="Currency 10 4 4 3" xfId="6217" xr:uid="{00000000-0005-0000-0000-000099170000}"/>
    <cellStyle name="Currency 10 4 5" xfId="6218" xr:uid="{00000000-0005-0000-0000-00009A170000}"/>
    <cellStyle name="Currency 10 4 5 2" xfId="6219" xr:uid="{00000000-0005-0000-0000-00009B170000}"/>
    <cellStyle name="Currency 10 4 6" xfId="6220" xr:uid="{00000000-0005-0000-0000-00009C170000}"/>
    <cellStyle name="Currency 10 4 6 2" xfId="6221" xr:uid="{00000000-0005-0000-0000-00009D170000}"/>
    <cellStyle name="Currency 10 4 7" xfId="6222" xr:uid="{00000000-0005-0000-0000-00009E170000}"/>
    <cellStyle name="Currency 10 5" xfId="6223" xr:uid="{00000000-0005-0000-0000-00009F170000}"/>
    <cellStyle name="Currency 100" xfId="6224" xr:uid="{00000000-0005-0000-0000-0000A0170000}"/>
    <cellStyle name="Currency 101" xfId="6225" xr:uid="{00000000-0005-0000-0000-0000A1170000}"/>
    <cellStyle name="Currency 102" xfId="6226" xr:uid="{00000000-0005-0000-0000-0000A2170000}"/>
    <cellStyle name="Currency 103" xfId="6227" xr:uid="{00000000-0005-0000-0000-0000A3170000}"/>
    <cellStyle name="Currency 104" xfId="6228" xr:uid="{00000000-0005-0000-0000-0000A4170000}"/>
    <cellStyle name="Currency 105" xfId="6229" xr:uid="{00000000-0005-0000-0000-0000A5170000}"/>
    <cellStyle name="Currency 106" xfId="6230" xr:uid="{00000000-0005-0000-0000-0000A6170000}"/>
    <cellStyle name="Currency 107" xfId="6231" xr:uid="{00000000-0005-0000-0000-0000A7170000}"/>
    <cellStyle name="Currency 108" xfId="6232" xr:uid="{00000000-0005-0000-0000-0000A8170000}"/>
    <cellStyle name="Currency 109" xfId="6233" xr:uid="{00000000-0005-0000-0000-0000A9170000}"/>
    <cellStyle name="Currency 11" xfId="84" xr:uid="{00000000-0005-0000-0000-0000AA170000}"/>
    <cellStyle name="Currency 11 2" xfId="6234" xr:uid="{00000000-0005-0000-0000-0000AB170000}"/>
    <cellStyle name="Currency 11 2 2" xfId="6235" xr:uid="{00000000-0005-0000-0000-0000AC170000}"/>
    <cellStyle name="Currency 11 2 2 2" xfId="6236" xr:uid="{00000000-0005-0000-0000-0000AD170000}"/>
    <cellStyle name="Currency 11 2 2 2 2" xfId="6237" xr:uid="{00000000-0005-0000-0000-0000AE170000}"/>
    <cellStyle name="Currency 11 2 2 2 2 2" xfId="6238" xr:uid="{00000000-0005-0000-0000-0000AF170000}"/>
    <cellStyle name="Currency 11 2 2 2 2 2 2" xfId="6239" xr:uid="{00000000-0005-0000-0000-0000B0170000}"/>
    <cellStyle name="Currency 11 2 2 2 2 3" xfId="6240" xr:uid="{00000000-0005-0000-0000-0000B1170000}"/>
    <cellStyle name="Currency 11 2 2 2 2 3 2" xfId="6241" xr:uid="{00000000-0005-0000-0000-0000B2170000}"/>
    <cellStyle name="Currency 11 2 2 2 2 4" xfId="6242" xr:uid="{00000000-0005-0000-0000-0000B3170000}"/>
    <cellStyle name="Currency 11 2 2 2 3" xfId="6243" xr:uid="{00000000-0005-0000-0000-0000B4170000}"/>
    <cellStyle name="Currency 11 2 2 2 3 2" xfId="6244" xr:uid="{00000000-0005-0000-0000-0000B5170000}"/>
    <cellStyle name="Currency 11 2 2 2 3 2 2" xfId="6245" xr:uid="{00000000-0005-0000-0000-0000B6170000}"/>
    <cellStyle name="Currency 11 2 2 2 3 3" xfId="6246" xr:uid="{00000000-0005-0000-0000-0000B7170000}"/>
    <cellStyle name="Currency 11 2 2 2 4" xfId="6247" xr:uid="{00000000-0005-0000-0000-0000B8170000}"/>
    <cellStyle name="Currency 11 2 2 2 4 2" xfId="6248" xr:uid="{00000000-0005-0000-0000-0000B9170000}"/>
    <cellStyle name="Currency 11 2 2 2 5" xfId="6249" xr:uid="{00000000-0005-0000-0000-0000BA170000}"/>
    <cellStyle name="Currency 11 2 2 2 5 2" xfId="6250" xr:uid="{00000000-0005-0000-0000-0000BB170000}"/>
    <cellStyle name="Currency 11 2 2 2 6" xfId="6251" xr:uid="{00000000-0005-0000-0000-0000BC170000}"/>
    <cellStyle name="Currency 11 2 2 3" xfId="6252" xr:uid="{00000000-0005-0000-0000-0000BD170000}"/>
    <cellStyle name="Currency 11 2 2 3 2" xfId="6253" xr:uid="{00000000-0005-0000-0000-0000BE170000}"/>
    <cellStyle name="Currency 11 2 2 3 2 2" xfId="6254" xr:uid="{00000000-0005-0000-0000-0000BF170000}"/>
    <cellStyle name="Currency 11 2 2 3 3" xfId="6255" xr:uid="{00000000-0005-0000-0000-0000C0170000}"/>
    <cellStyle name="Currency 11 2 2 3 3 2" xfId="6256" xr:uid="{00000000-0005-0000-0000-0000C1170000}"/>
    <cellStyle name="Currency 11 2 2 3 4" xfId="6257" xr:uid="{00000000-0005-0000-0000-0000C2170000}"/>
    <cellStyle name="Currency 11 2 2 4" xfId="6258" xr:uid="{00000000-0005-0000-0000-0000C3170000}"/>
    <cellStyle name="Currency 11 2 2 4 2" xfId="6259" xr:uid="{00000000-0005-0000-0000-0000C4170000}"/>
    <cellStyle name="Currency 11 2 2 4 2 2" xfId="6260" xr:uid="{00000000-0005-0000-0000-0000C5170000}"/>
    <cellStyle name="Currency 11 2 2 4 3" xfId="6261" xr:uid="{00000000-0005-0000-0000-0000C6170000}"/>
    <cellStyle name="Currency 11 2 2 5" xfId="6262" xr:uid="{00000000-0005-0000-0000-0000C7170000}"/>
    <cellStyle name="Currency 11 2 2 5 2" xfId="6263" xr:uid="{00000000-0005-0000-0000-0000C8170000}"/>
    <cellStyle name="Currency 11 2 2 6" xfId="6264" xr:uid="{00000000-0005-0000-0000-0000C9170000}"/>
    <cellStyle name="Currency 11 2 2 6 2" xfId="6265" xr:uid="{00000000-0005-0000-0000-0000CA170000}"/>
    <cellStyle name="Currency 11 2 2 7" xfId="6266" xr:uid="{00000000-0005-0000-0000-0000CB170000}"/>
    <cellStyle name="Currency 11 2 3" xfId="6267" xr:uid="{00000000-0005-0000-0000-0000CC170000}"/>
    <cellStyle name="Currency 11 2 3 2" xfId="6268" xr:uid="{00000000-0005-0000-0000-0000CD170000}"/>
    <cellStyle name="Currency 11 2 3 2 2" xfId="6269" xr:uid="{00000000-0005-0000-0000-0000CE170000}"/>
    <cellStyle name="Currency 11 2 3 2 2 2" xfId="6270" xr:uid="{00000000-0005-0000-0000-0000CF170000}"/>
    <cellStyle name="Currency 11 2 3 2 2 2 2" xfId="6271" xr:uid="{00000000-0005-0000-0000-0000D0170000}"/>
    <cellStyle name="Currency 11 2 3 2 2 3" xfId="6272" xr:uid="{00000000-0005-0000-0000-0000D1170000}"/>
    <cellStyle name="Currency 11 2 3 2 2 3 2" xfId="6273" xr:uid="{00000000-0005-0000-0000-0000D2170000}"/>
    <cellStyle name="Currency 11 2 3 2 2 4" xfId="6274" xr:uid="{00000000-0005-0000-0000-0000D3170000}"/>
    <cellStyle name="Currency 11 2 3 2 3" xfId="6275" xr:uid="{00000000-0005-0000-0000-0000D4170000}"/>
    <cellStyle name="Currency 11 2 3 2 3 2" xfId="6276" xr:uid="{00000000-0005-0000-0000-0000D5170000}"/>
    <cellStyle name="Currency 11 2 3 2 3 2 2" xfId="6277" xr:uid="{00000000-0005-0000-0000-0000D6170000}"/>
    <cellStyle name="Currency 11 2 3 2 3 3" xfId="6278" xr:uid="{00000000-0005-0000-0000-0000D7170000}"/>
    <cellStyle name="Currency 11 2 3 2 4" xfId="6279" xr:uid="{00000000-0005-0000-0000-0000D8170000}"/>
    <cellStyle name="Currency 11 2 3 2 4 2" xfId="6280" xr:uid="{00000000-0005-0000-0000-0000D9170000}"/>
    <cellStyle name="Currency 11 2 3 2 5" xfId="6281" xr:uid="{00000000-0005-0000-0000-0000DA170000}"/>
    <cellStyle name="Currency 11 2 3 2 5 2" xfId="6282" xr:uid="{00000000-0005-0000-0000-0000DB170000}"/>
    <cellStyle name="Currency 11 2 3 2 6" xfId="6283" xr:uid="{00000000-0005-0000-0000-0000DC170000}"/>
    <cellStyle name="Currency 11 2 3 3" xfId="6284" xr:uid="{00000000-0005-0000-0000-0000DD170000}"/>
    <cellStyle name="Currency 11 2 3 3 2" xfId="6285" xr:uid="{00000000-0005-0000-0000-0000DE170000}"/>
    <cellStyle name="Currency 11 2 3 3 2 2" xfId="6286" xr:uid="{00000000-0005-0000-0000-0000DF170000}"/>
    <cellStyle name="Currency 11 2 3 3 3" xfId="6287" xr:uid="{00000000-0005-0000-0000-0000E0170000}"/>
    <cellStyle name="Currency 11 2 3 3 3 2" xfId="6288" xr:uid="{00000000-0005-0000-0000-0000E1170000}"/>
    <cellStyle name="Currency 11 2 3 3 4" xfId="6289" xr:uid="{00000000-0005-0000-0000-0000E2170000}"/>
    <cellStyle name="Currency 11 2 3 4" xfId="6290" xr:uid="{00000000-0005-0000-0000-0000E3170000}"/>
    <cellStyle name="Currency 11 2 3 4 2" xfId="6291" xr:uid="{00000000-0005-0000-0000-0000E4170000}"/>
    <cellStyle name="Currency 11 2 3 4 2 2" xfId="6292" xr:uid="{00000000-0005-0000-0000-0000E5170000}"/>
    <cellStyle name="Currency 11 2 3 4 3" xfId="6293" xr:uid="{00000000-0005-0000-0000-0000E6170000}"/>
    <cellStyle name="Currency 11 2 3 5" xfId="6294" xr:uid="{00000000-0005-0000-0000-0000E7170000}"/>
    <cellStyle name="Currency 11 2 3 5 2" xfId="6295" xr:uid="{00000000-0005-0000-0000-0000E8170000}"/>
    <cellStyle name="Currency 11 2 3 6" xfId="6296" xr:uid="{00000000-0005-0000-0000-0000E9170000}"/>
    <cellStyle name="Currency 11 2 3 6 2" xfId="6297" xr:uid="{00000000-0005-0000-0000-0000EA170000}"/>
    <cellStyle name="Currency 11 2 3 7" xfId="6298" xr:uid="{00000000-0005-0000-0000-0000EB170000}"/>
    <cellStyle name="Currency 11 2 4" xfId="6299" xr:uid="{00000000-0005-0000-0000-0000EC170000}"/>
    <cellStyle name="Currency 11 2 4 2" xfId="6300" xr:uid="{00000000-0005-0000-0000-0000ED170000}"/>
    <cellStyle name="Currency 11 2 4 2 2" xfId="6301" xr:uid="{00000000-0005-0000-0000-0000EE170000}"/>
    <cellStyle name="Currency 11 2 4 2 2 2" xfId="6302" xr:uid="{00000000-0005-0000-0000-0000EF170000}"/>
    <cellStyle name="Currency 11 2 4 2 3" xfId="6303" xr:uid="{00000000-0005-0000-0000-0000F0170000}"/>
    <cellStyle name="Currency 11 2 4 2 3 2" xfId="6304" xr:uid="{00000000-0005-0000-0000-0000F1170000}"/>
    <cellStyle name="Currency 11 2 4 2 4" xfId="6305" xr:uid="{00000000-0005-0000-0000-0000F2170000}"/>
    <cellStyle name="Currency 11 2 4 3" xfId="6306" xr:uid="{00000000-0005-0000-0000-0000F3170000}"/>
    <cellStyle name="Currency 11 2 4 3 2" xfId="6307" xr:uid="{00000000-0005-0000-0000-0000F4170000}"/>
    <cellStyle name="Currency 11 2 4 3 2 2" xfId="6308" xr:uid="{00000000-0005-0000-0000-0000F5170000}"/>
    <cellStyle name="Currency 11 2 4 3 3" xfId="6309" xr:uid="{00000000-0005-0000-0000-0000F6170000}"/>
    <cellStyle name="Currency 11 2 4 4" xfId="6310" xr:uid="{00000000-0005-0000-0000-0000F7170000}"/>
    <cellStyle name="Currency 11 2 4 4 2" xfId="6311" xr:uid="{00000000-0005-0000-0000-0000F8170000}"/>
    <cellStyle name="Currency 11 2 4 5" xfId="6312" xr:uid="{00000000-0005-0000-0000-0000F9170000}"/>
    <cellStyle name="Currency 11 2 4 5 2" xfId="6313" xr:uid="{00000000-0005-0000-0000-0000FA170000}"/>
    <cellStyle name="Currency 11 2 4 6" xfId="6314" xr:uid="{00000000-0005-0000-0000-0000FB170000}"/>
    <cellStyle name="Currency 11 2 5" xfId="6315" xr:uid="{00000000-0005-0000-0000-0000FC170000}"/>
    <cellStyle name="Currency 11 2 5 2" xfId="6316" xr:uid="{00000000-0005-0000-0000-0000FD170000}"/>
    <cellStyle name="Currency 11 2 5 2 2" xfId="6317" xr:uid="{00000000-0005-0000-0000-0000FE170000}"/>
    <cellStyle name="Currency 11 2 5 3" xfId="6318" xr:uid="{00000000-0005-0000-0000-0000FF170000}"/>
    <cellStyle name="Currency 11 2 5 3 2" xfId="6319" xr:uid="{00000000-0005-0000-0000-000000180000}"/>
    <cellStyle name="Currency 11 2 5 4" xfId="6320" xr:uid="{00000000-0005-0000-0000-000001180000}"/>
    <cellStyle name="Currency 11 2 6" xfId="6321" xr:uid="{00000000-0005-0000-0000-000002180000}"/>
    <cellStyle name="Currency 11 2 6 2" xfId="6322" xr:uid="{00000000-0005-0000-0000-000003180000}"/>
    <cellStyle name="Currency 11 2 6 2 2" xfId="6323" xr:uid="{00000000-0005-0000-0000-000004180000}"/>
    <cellStyle name="Currency 11 2 6 3" xfId="6324" xr:uid="{00000000-0005-0000-0000-000005180000}"/>
    <cellStyle name="Currency 11 2 7" xfId="6325" xr:uid="{00000000-0005-0000-0000-000006180000}"/>
    <cellStyle name="Currency 11 2 7 2" xfId="6326" xr:uid="{00000000-0005-0000-0000-000007180000}"/>
    <cellStyle name="Currency 11 2 8" xfId="6327" xr:uid="{00000000-0005-0000-0000-000008180000}"/>
    <cellStyle name="Currency 11 2 8 2" xfId="6328" xr:uid="{00000000-0005-0000-0000-000009180000}"/>
    <cellStyle name="Currency 11 2 9" xfId="6329" xr:uid="{00000000-0005-0000-0000-00000A180000}"/>
    <cellStyle name="Currency 11 3" xfId="6330" xr:uid="{00000000-0005-0000-0000-00000B180000}"/>
    <cellStyle name="Currency 11 3 2" xfId="6331" xr:uid="{00000000-0005-0000-0000-00000C180000}"/>
    <cellStyle name="Currency 11 3 2 2" xfId="6332" xr:uid="{00000000-0005-0000-0000-00000D180000}"/>
    <cellStyle name="Currency 11 3 2 2 2" xfId="6333" xr:uid="{00000000-0005-0000-0000-00000E180000}"/>
    <cellStyle name="Currency 11 3 2 2 2 2" xfId="6334" xr:uid="{00000000-0005-0000-0000-00000F180000}"/>
    <cellStyle name="Currency 11 3 2 2 3" xfId="6335" xr:uid="{00000000-0005-0000-0000-000010180000}"/>
    <cellStyle name="Currency 11 3 2 2 3 2" xfId="6336" xr:uid="{00000000-0005-0000-0000-000011180000}"/>
    <cellStyle name="Currency 11 3 2 2 4" xfId="6337" xr:uid="{00000000-0005-0000-0000-000012180000}"/>
    <cellStyle name="Currency 11 3 2 3" xfId="6338" xr:uid="{00000000-0005-0000-0000-000013180000}"/>
    <cellStyle name="Currency 11 3 2 3 2" xfId="6339" xr:uid="{00000000-0005-0000-0000-000014180000}"/>
    <cellStyle name="Currency 11 3 2 3 2 2" xfId="6340" xr:uid="{00000000-0005-0000-0000-000015180000}"/>
    <cellStyle name="Currency 11 3 2 3 3" xfId="6341" xr:uid="{00000000-0005-0000-0000-000016180000}"/>
    <cellStyle name="Currency 11 3 2 4" xfId="6342" xr:uid="{00000000-0005-0000-0000-000017180000}"/>
    <cellStyle name="Currency 11 3 2 4 2" xfId="6343" xr:uid="{00000000-0005-0000-0000-000018180000}"/>
    <cellStyle name="Currency 11 3 2 5" xfId="6344" xr:uid="{00000000-0005-0000-0000-000019180000}"/>
    <cellStyle name="Currency 11 3 2 5 2" xfId="6345" xr:uid="{00000000-0005-0000-0000-00001A180000}"/>
    <cellStyle name="Currency 11 3 2 6" xfId="6346" xr:uid="{00000000-0005-0000-0000-00001B180000}"/>
    <cellStyle name="Currency 11 3 3" xfId="6347" xr:uid="{00000000-0005-0000-0000-00001C180000}"/>
    <cellStyle name="Currency 11 3 3 2" xfId="6348" xr:uid="{00000000-0005-0000-0000-00001D180000}"/>
    <cellStyle name="Currency 11 3 3 2 2" xfId="6349" xr:uid="{00000000-0005-0000-0000-00001E180000}"/>
    <cellStyle name="Currency 11 3 3 3" xfId="6350" xr:uid="{00000000-0005-0000-0000-00001F180000}"/>
    <cellStyle name="Currency 11 3 3 3 2" xfId="6351" xr:uid="{00000000-0005-0000-0000-000020180000}"/>
    <cellStyle name="Currency 11 3 3 4" xfId="6352" xr:uid="{00000000-0005-0000-0000-000021180000}"/>
    <cellStyle name="Currency 11 3 4" xfId="6353" xr:uid="{00000000-0005-0000-0000-000022180000}"/>
    <cellStyle name="Currency 11 3 4 2" xfId="6354" xr:uid="{00000000-0005-0000-0000-000023180000}"/>
    <cellStyle name="Currency 11 3 4 2 2" xfId="6355" xr:uid="{00000000-0005-0000-0000-000024180000}"/>
    <cellStyle name="Currency 11 3 4 3" xfId="6356" xr:uid="{00000000-0005-0000-0000-000025180000}"/>
    <cellStyle name="Currency 11 3 5" xfId="6357" xr:uid="{00000000-0005-0000-0000-000026180000}"/>
    <cellStyle name="Currency 11 3 5 2" xfId="6358" xr:uid="{00000000-0005-0000-0000-000027180000}"/>
    <cellStyle name="Currency 11 3 6" xfId="6359" xr:uid="{00000000-0005-0000-0000-000028180000}"/>
    <cellStyle name="Currency 11 3 6 2" xfId="6360" xr:uid="{00000000-0005-0000-0000-000029180000}"/>
    <cellStyle name="Currency 11 3 7" xfId="6361" xr:uid="{00000000-0005-0000-0000-00002A180000}"/>
    <cellStyle name="Currency 11 4" xfId="6362" xr:uid="{00000000-0005-0000-0000-00002B180000}"/>
    <cellStyle name="Currency 11 4 2" xfId="6363" xr:uid="{00000000-0005-0000-0000-00002C180000}"/>
    <cellStyle name="Currency 11 4 2 2" xfId="6364" xr:uid="{00000000-0005-0000-0000-00002D180000}"/>
    <cellStyle name="Currency 11 4 2 2 2" xfId="6365" xr:uid="{00000000-0005-0000-0000-00002E180000}"/>
    <cellStyle name="Currency 11 4 2 2 2 2" xfId="6366" xr:uid="{00000000-0005-0000-0000-00002F180000}"/>
    <cellStyle name="Currency 11 4 2 2 3" xfId="6367" xr:uid="{00000000-0005-0000-0000-000030180000}"/>
    <cellStyle name="Currency 11 4 2 2 3 2" xfId="6368" xr:uid="{00000000-0005-0000-0000-000031180000}"/>
    <cellStyle name="Currency 11 4 2 2 4" xfId="6369" xr:uid="{00000000-0005-0000-0000-000032180000}"/>
    <cellStyle name="Currency 11 4 2 3" xfId="6370" xr:uid="{00000000-0005-0000-0000-000033180000}"/>
    <cellStyle name="Currency 11 4 2 3 2" xfId="6371" xr:uid="{00000000-0005-0000-0000-000034180000}"/>
    <cellStyle name="Currency 11 4 2 3 2 2" xfId="6372" xr:uid="{00000000-0005-0000-0000-000035180000}"/>
    <cellStyle name="Currency 11 4 2 3 3" xfId="6373" xr:uid="{00000000-0005-0000-0000-000036180000}"/>
    <cellStyle name="Currency 11 4 2 4" xfId="6374" xr:uid="{00000000-0005-0000-0000-000037180000}"/>
    <cellStyle name="Currency 11 4 2 4 2" xfId="6375" xr:uid="{00000000-0005-0000-0000-000038180000}"/>
    <cellStyle name="Currency 11 4 2 5" xfId="6376" xr:uid="{00000000-0005-0000-0000-000039180000}"/>
    <cellStyle name="Currency 11 4 2 5 2" xfId="6377" xr:uid="{00000000-0005-0000-0000-00003A180000}"/>
    <cellStyle name="Currency 11 4 2 6" xfId="6378" xr:uid="{00000000-0005-0000-0000-00003B180000}"/>
    <cellStyle name="Currency 11 4 3" xfId="6379" xr:uid="{00000000-0005-0000-0000-00003C180000}"/>
    <cellStyle name="Currency 11 4 3 2" xfId="6380" xr:uid="{00000000-0005-0000-0000-00003D180000}"/>
    <cellStyle name="Currency 11 4 3 2 2" xfId="6381" xr:uid="{00000000-0005-0000-0000-00003E180000}"/>
    <cellStyle name="Currency 11 4 3 3" xfId="6382" xr:uid="{00000000-0005-0000-0000-00003F180000}"/>
    <cellStyle name="Currency 11 4 3 3 2" xfId="6383" xr:uid="{00000000-0005-0000-0000-000040180000}"/>
    <cellStyle name="Currency 11 4 3 4" xfId="6384" xr:uid="{00000000-0005-0000-0000-000041180000}"/>
    <cellStyle name="Currency 11 4 4" xfId="6385" xr:uid="{00000000-0005-0000-0000-000042180000}"/>
    <cellStyle name="Currency 11 4 4 2" xfId="6386" xr:uid="{00000000-0005-0000-0000-000043180000}"/>
    <cellStyle name="Currency 11 4 4 2 2" xfId="6387" xr:uid="{00000000-0005-0000-0000-000044180000}"/>
    <cellStyle name="Currency 11 4 4 3" xfId="6388" xr:uid="{00000000-0005-0000-0000-000045180000}"/>
    <cellStyle name="Currency 11 4 5" xfId="6389" xr:uid="{00000000-0005-0000-0000-000046180000}"/>
    <cellStyle name="Currency 11 4 5 2" xfId="6390" xr:uid="{00000000-0005-0000-0000-000047180000}"/>
    <cellStyle name="Currency 11 4 6" xfId="6391" xr:uid="{00000000-0005-0000-0000-000048180000}"/>
    <cellStyle name="Currency 11 4 6 2" xfId="6392" xr:uid="{00000000-0005-0000-0000-000049180000}"/>
    <cellStyle name="Currency 11 4 7" xfId="6393" xr:uid="{00000000-0005-0000-0000-00004A180000}"/>
    <cellStyle name="Currency 11 5" xfId="6394" xr:uid="{00000000-0005-0000-0000-00004B180000}"/>
    <cellStyle name="Currency 110" xfId="6395" xr:uid="{00000000-0005-0000-0000-00004C180000}"/>
    <cellStyle name="Currency 111" xfId="6396" xr:uid="{00000000-0005-0000-0000-00004D180000}"/>
    <cellStyle name="Currency 112" xfId="6397" xr:uid="{00000000-0005-0000-0000-00004E180000}"/>
    <cellStyle name="Currency 12" xfId="85" xr:uid="{00000000-0005-0000-0000-00004F180000}"/>
    <cellStyle name="Currency 12 2" xfId="6398" xr:uid="{00000000-0005-0000-0000-000050180000}"/>
    <cellStyle name="Currency 12 2 2" xfId="6399" xr:uid="{00000000-0005-0000-0000-000051180000}"/>
    <cellStyle name="Currency 12 2 2 2" xfId="6400" xr:uid="{00000000-0005-0000-0000-000052180000}"/>
    <cellStyle name="Currency 12 2 2 2 2" xfId="6401" xr:uid="{00000000-0005-0000-0000-000053180000}"/>
    <cellStyle name="Currency 12 2 2 2 2 2" xfId="6402" xr:uid="{00000000-0005-0000-0000-000054180000}"/>
    <cellStyle name="Currency 12 2 2 2 2 2 2" xfId="6403" xr:uid="{00000000-0005-0000-0000-000055180000}"/>
    <cellStyle name="Currency 12 2 2 2 2 3" xfId="6404" xr:uid="{00000000-0005-0000-0000-000056180000}"/>
    <cellStyle name="Currency 12 2 2 2 2 3 2" xfId="6405" xr:uid="{00000000-0005-0000-0000-000057180000}"/>
    <cellStyle name="Currency 12 2 2 2 2 4" xfId="6406" xr:uid="{00000000-0005-0000-0000-000058180000}"/>
    <cellStyle name="Currency 12 2 2 2 3" xfId="6407" xr:uid="{00000000-0005-0000-0000-000059180000}"/>
    <cellStyle name="Currency 12 2 2 2 3 2" xfId="6408" xr:uid="{00000000-0005-0000-0000-00005A180000}"/>
    <cellStyle name="Currency 12 2 2 2 3 2 2" xfId="6409" xr:uid="{00000000-0005-0000-0000-00005B180000}"/>
    <cellStyle name="Currency 12 2 2 2 3 3" xfId="6410" xr:uid="{00000000-0005-0000-0000-00005C180000}"/>
    <cellStyle name="Currency 12 2 2 2 4" xfId="6411" xr:uid="{00000000-0005-0000-0000-00005D180000}"/>
    <cellStyle name="Currency 12 2 2 2 4 2" xfId="6412" xr:uid="{00000000-0005-0000-0000-00005E180000}"/>
    <cellStyle name="Currency 12 2 2 2 5" xfId="6413" xr:uid="{00000000-0005-0000-0000-00005F180000}"/>
    <cellStyle name="Currency 12 2 2 2 5 2" xfId="6414" xr:uid="{00000000-0005-0000-0000-000060180000}"/>
    <cellStyle name="Currency 12 2 2 2 6" xfId="6415" xr:uid="{00000000-0005-0000-0000-000061180000}"/>
    <cellStyle name="Currency 12 2 2 3" xfId="6416" xr:uid="{00000000-0005-0000-0000-000062180000}"/>
    <cellStyle name="Currency 12 2 2 3 2" xfId="6417" xr:uid="{00000000-0005-0000-0000-000063180000}"/>
    <cellStyle name="Currency 12 2 2 3 2 2" xfId="6418" xr:uid="{00000000-0005-0000-0000-000064180000}"/>
    <cellStyle name="Currency 12 2 2 3 3" xfId="6419" xr:uid="{00000000-0005-0000-0000-000065180000}"/>
    <cellStyle name="Currency 12 2 2 3 3 2" xfId="6420" xr:uid="{00000000-0005-0000-0000-000066180000}"/>
    <cellStyle name="Currency 12 2 2 3 4" xfId="6421" xr:uid="{00000000-0005-0000-0000-000067180000}"/>
    <cellStyle name="Currency 12 2 2 4" xfId="6422" xr:uid="{00000000-0005-0000-0000-000068180000}"/>
    <cellStyle name="Currency 12 2 2 4 2" xfId="6423" xr:uid="{00000000-0005-0000-0000-000069180000}"/>
    <cellStyle name="Currency 12 2 2 4 2 2" xfId="6424" xr:uid="{00000000-0005-0000-0000-00006A180000}"/>
    <cellStyle name="Currency 12 2 2 4 3" xfId="6425" xr:uid="{00000000-0005-0000-0000-00006B180000}"/>
    <cellStyle name="Currency 12 2 2 5" xfId="6426" xr:uid="{00000000-0005-0000-0000-00006C180000}"/>
    <cellStyle name="Currency 12 2 2 5 2" xfId="6427" xr:uid="{00000000-0005-0000-0000-00006D180000}"/>
    <cellStyle name="Currency 12 2 2 6" xfId="6428" xr:uid="{00000000-0005-0000-0000-00006E180000}"/>
    <cellStyle name="Currency 12 2 2 6 2" xfId="6429" xr:uid="{00000000-0005-0000-0000-00006F180000}"/>
    <cellStyle name="Currency 12 2 2 7" xfId="6430" xr:uid="{00000000-0005-0000-0000-000070180000}"/>
    <cellStyle name="Currency 12 2 3" xfId="6431" xr:uid="{00000000-0005-0000-0000-000071180000}"/>
    <cellStyle name="Currency 12 2 3 2" xfId="6432" xr:uid="{00000000-0005-0000-0000-000072180000}"/>
    <cellStyle name="Currency 12 2 3 2 2" xfId="6433" xr:uid="{00000000-0005-0000-0000-000073180000}"/>
    <cellStyle name="Currency 12 2 3 2 2 2" xfId="6434" xr:uid="{00000000-0005-0000-0000-000074180000}"/>
    <cellStyle name="Currency 12 2 3 2 2 2 2" xfId="6435" xr:uid="{00000000-0005-0000-0000-000075180000}"/>
    <cellStyle name="Currency 12 2 3 2 2 3" xfId="6436" xr:uid="{00000000-0005-0000-0000-000076180000}"/>
    <cellStyle name="Currency 12 2 3 2 2 3 2" xfId="6437" xr:uid="{00000000-0005-0000-0000-000077180000}"/>
    <cellStyle name="Currency 12 2 3 2 2 4" xfId="6438" xr:uid="{00000000-0005-0000-0000-000078180000}"/>
    <cellStyle name="Currency 12 2 3 2 3" xfId="6439" xr:uid="{00000000-0005-0000-0000-000079180000}"/>
    <cellStyle name="Currency 12 2 3 2 3 2" xfId="6440" xr:uid="{00000000-0005-0000-0000-00007A180000}"/>
    <cellStyle name="Currency 12 2 3 2 3 2 2" xfId="6441" xr:uid="{00000000-0005-0000-0000-00007B180000}"/>
    <cellStyle name="Currency 12 2 3 2 3 3" xfId="6442" xr:uid="{00000000-0005-0000-0000-00007C180000}"/>
    <cellStyle name="Currency 12 2 3 2 4" xfId="6443" xr:uid="{00000000-0005-0000-0000-00007D180000}"/>
    <cellStyle name="Currency 12 2 3 2 4 2" xfId="6444" xr:uid="{00000000-0005-0000-0000-00007E180000}"/>
    <cellStyle name="Currency 12 2 3 2 5" xfId="6445" xr:uid="{00000000-0005-0000-0000-00007F180000}"/>
    <cellStyle name="Currency 12 2 3 2 5 2" xfId="6446" xr:uid="{00000000-0005-0000-0000-000080180000}"/>
    <cellStyle name="Currency 12 2 3 2 6" xfId="6447" xr:uid="{00000000-0005-0000-0000-000081180000}"/>
    <cellStyle name="Currency 12 2 3 3" xfId="6448" xr:uid="{00000000-0005-0000-0000-000082180000}"/>
    <cellStyle name="Currency 12 2 3 3 2" xfId="6449" xr:uid="{00000000-0005-0000-0000-000083180000}"/>
    <cellStyle name="Currency 12 2 3 3 2 2" xfId="6450" xr:uid="{00000000-0005-0000-0000-000084180000}"/>
    <cellStyle name="Currency 12 2 3 3 3" xfId="6451" xr:uid="{00000000-0005-0000-0000-000085180000}"/>
    <cellStyle name="Currency 12 2 3 3 3 2" xfId="6452" xr:uid="{00000000-0005-0000-0000-000086180000}"/>
    <cellStyle name="Currency 12 2 3 3 4" xfId="6453" xr:uid="{00000000-0005-0000-0000-000087180000}"/>
    <cellStyle name="Currency 12 2 3 4" xfId="6454" xr:uid="{00000000-0005-0000-0000-000088180000}"/>
    <cellStyle name="Currency 12 2 3 4 2" xfId="6455" xr:uid="{00000000-0005-0000-0000-000089180000}"/>
    <cellStyle name="Currency 12 2 3 4 2 2" xfId="6456" xr:uid="{00000000-0005-0000-0000-00008A180000}"/>
    <cellStyle name="Currency 12 2 3 4 3" xfId="6457" xr:uid="{00000000-0005-0000-0000-00008B180000}"/>
    <cellStyle name="Currency 12 2 3 5" xfId="6458" xr:uid="{00000000-0005-0000-0000-00008C180000}"/>
    <cellStyle name="Currency 12 2 3 5 2" xfId="6459" xr:uid="{00000000-0005-0000-0000-00008D180000}"/>
    <cellStyle name="Currency 12 2 3 6" xfId="6460" xr:uid="{00000000-0005-0000-0000-00008E180000}"/>
    <cellStyle name="Currency 12 2 3 6 2" xfId="6461" xr:uid="{00000000-0005-0000-0000-00008F180000}"/>
    <cellStyle name="Currency 12 2 3 7" xfId="6462" xr:uid="{00000000-0005-0000-0000-000090180000}"/>
    <cellStyle name="Currency 12 2 4" xfId="6463" xr:uid="{00000000-0005-0000-0000-000091180000}"/>
    <cellStyle name="Currency 12 2 4 2" xfId="6464" xr:uid="{00000000-0005-0000-0000-000092180000}"/>
    <cellStyle name="Currency 12 2 4 2 2" xfId="6465" xr:uid="{00000000-0005-0000-0000-000093180000}"/>
    <cellStyle name="Currency 12 2 4 2 2 2" xfId="6466" xr:uid="{00000000-0005-0000-0000-000094180000}"/>
    <cellStyle name="Currency 12 2 4 2 3" xfId="6467" xr:uid="{00000000-0005-0000-0000-000095180000}"/>
    <cellStyle name="Currency 12 2 4 2 3 2" xfId="6468" xr:uid="{00000000-0005-0000-0000-000096180000}"/>
    <cellStyle name="Currency 12 2 4 2 4" xfId="6469" xr:uid="{00000000-0005-0000-0000-000097180000}"/>
    <cellStyle name="Currency 12 2 4 3" xfId="6470" xr:uid="{00000000-0005-0000-0000-000098180000}"/>
    <cellStyle name="Currency 12 2 4 3 2" xfId="6471" xr:uid="{00000000-0005-0000-0000-000099180000}"/>
    <cellStyle name="Currency 12 2 4 3 2 2" xfId="6472" xr:uid="{00000000-0005-0000-0000-00009A180000}"/>
    <cellStyle name="Currency 12 2 4 3 3" xfId="6473" xr:uid="{00000000-0005-0000-0000-00009B180000}"/>
    <cellStyle name="Currency 12 2 4 4" xfId="6474" xr:uid="{00000000-0005-0000-0000-00009C180000}"/>
    <cellStyle name="Currency 12 2 4 4 2" xfId="6475" xr:uid="{00000000-0005-0000-0000-00009D180000}"/>
    <cellStyle name="Currency 12 2 4 5" xfId="6476" xr:uid="{00000000-0005-0000-0000-00009E180000}"/>
    <cellStyle name="Currency 12 2 4 5 2" xfId="6477" xr:uid="{00000000-0005-0000-0000-00009F180000}"/>
    <cellStyle name="Currency 12 2 4 6" xfId="6478" xr:uid="{00000000-0005-0000-0000-0000A0180000}"/>
    <cellStyle name="Currency 12 2 5" xfId="6479" xr:uid="{00000000-0005-0000-0000-0000A1180000}"/>
    <cellStyle name="Currency 12 2 5 2" xfId="6480" xr:uid="{00000000-0005-0000-0000-0000A2180000}"/>
    <cellStyle name="Currency 12 2 5 2 2" xfId="6481" xr:uid="{00000000-0005-0000-0000-0000A3180000}"/>
    <cellStyle name="Currency 12 2 5 3" xfId="6482" xr:uid="{00000000-0005-0000-0000-0000A4180000}"/>
    <cellStyle name="Currency 12 2 5 3 2" xfId="6483" xr:uid="{00000000-0005-0000-0000-0000A5180000}"/>
    <cellStyle name="Currency 12 2 5 4" xfId="6484" xr:uid="{00000000-0005-0000-0000-0000A6180000}"/>
    <cellStyle name="Currency 12 2 6" xfId="6485" xr:uid="{00000000-0005-0000-0000-0000A7180000}"/>
    <cellStyle name="Currency 12 2 6 2" xfId="6486" xr:uid="{00000000-0005-0000-0000-0000A8180000}"/>
    <cellStyle name="Currency 12 2 6 2 2" xfId="6487" xr:uid="{00000000-0005-0000-0000-0000A9180000}"/>
    <cellStyle name="Currency 12 2 6 3" xfId="6488" xr:uid="{00000000-0005-0000-0000-0000AA180000}"/>
    <cellStyle name="Currency 12 2 7" xfId="6489" xr:uid="{00000000-0005-0000-0000-0000AB180000}"/>
    <cellStyle name="Currency 12 2 7 2" xfId="6490" xr:uid="{00000000-0005-0000-0000-0000AC180000}"/>
    <cellStyle name="Currency 12 2 8" xfId="6491" xr:uid="{00000000-0005-0000-0000-0000AD180000}"/>
    <cellStyle name="Currency 12 2 8 2" xfId="6492" xr:uid="{00000000-0005-0000-0000-0000AE180000}"/>
    <cellStyle name="Currency 12 2 9" xfId="6493" xr:uid="{00000000-0005-0000-0000-0000AF180000}"/>
    <cellStyle name="Currency 12 3" xfId="6494" xr:uid="{00000000-0005-0000-0000-0000B0180000}"/>
    <cellStyle name="Currency 12 3 2" xfId="6495" xr:uid="{00000000-0005-0000-0000-0000B1180000}"/>
    <cellStyle name="Currency 12 3 2 2" xfId="6496" xr:uid="{00000000-0005-0000-0000-0000B2180000}"/>
    <cellStyle name="Currency 12 3 2 2 2" xfId="6497" xr:uid="{00000000-0005-0000-0000-0000B3180000}"/>
    <cellStyle name="Currency 12 3 2 2 2 2" xfId="6498" xr:uid="{00000000-0005-0000-0000-0000B4180000}"/>
    <cellStyle name="Currency 12 3 2 2 3" xfId="6499" xr:uid="{00000000-0005-0000-0000-0000B5180000}"/>
    <cellStyle name="Currency 12 3 2 2 3 2" xfId="6500" xr:uid="{00000000-0005-0000-0000-0000B6180000}"/>
    <cellStyle name="Currency 12 3 2 2 4" xfId="6501" xr:uid="{00000000-0005-0000-0000-0000B7180000}"/>
    <cellStyle name="Currency 12 3 2 3" xfId="6502" xr:uid="{00000000-0005-0000-0000-0000B8180000}"/>
    <cellStyle name="Currency 12 3 2 3 2" xfId="6503" xr:uid="{00000000-0005-0000-0000-0000B9180000}"/>
    <cellStyle name="Currency 12 3 2 3 2 2" xfId="6504" xr:uid="{00000000-0005-0000-0000-0000BA180000}"/>
    <cellStyle name="Currency 12 3 2 3 3" xfId="6505" xr:uid="{00000000-0005-0000-0000-0000BB180000}"/>
    <cellStyle name="Currency 12 3 2 4" xfId="6506" xr:uid="{00000000-0005-0000-0000-0000BC180000}"/>
    <cellStyle name="Currency 12 3 2 4 2" xfId="6507" xr:uid="{00000000-0005-0000-0000-0000BD180000}"/>
    <cellStyle name="Currency 12 3 2 5" xfId="6508" xr:uid="{00000000-0005-0000-0000-0000BE180000}"/>
    <cellStyle name="Currency 12 3 2 5 2" xfId="6509" xr:uid="{00000000-0005-0000-0000-0000BF180000}"/>
    <cellStyle name="Currency 12 3 2 6" xfId="6510" xr:uid="{00000000-0005-0000-0000-0000C0180000}"/>
    <cellStyle name="Currency 12 3 3" xfId="6511" xr:uid="{00000000-0005-0000-0000-0000C1180000}"/>
    <cellStyle name="Currency 12 3 3 2" xfId="6512" xr:uid="{00000000-0005-0000-0000-0000C2180000}"/>
    <cellStyle name="Currency 12 3 3 2 2" xfId="6513" xr:uid="{00000000-0005-0000-0000-0000C3180000}"/>
    <cellStyle name="Currency 12 3 3 3" xfId="6514" xr:uid="{00000000-0005-0000-0000-0000C4180000}"/>
    <cellStyle name="Currency 12 3 3 3 2" xfId="6515" xr:uid="{00000000-0005-0000-0000-0000C5180000}"/>
    <cellStyle name="Currency 12 3 3 4" xfId="6516" xr:uid="{00000000-0005-0000-0000-0000C6180000}"/>
    <cellStyle name="Currency 12 3 4" xfId="6517" xr:uid="{00000000-0005-0000-0000-0000C7180000}"/>
    <cellStyle name="Currency 12 3 4 2" xfId="6518" xr:uid="{00000000-0005-0000-0000-0000C8180000}"/>
    <cellStyle name="Currency 12 3 4 2 2" xfId="6519" xr:uid="{00000000-0005-0000-0000-0000C9180000}"/>
    <cellStyle name="Currency 12 3 4 3" xfId="6520" xr:uid="{00000000-0005-0000-0000-0000CA180000}"/>
    <cellStyle name="Currency 12 3 5" xfId="6521" xr:uid="{00000000-0005-0000-0000-0000CB180000}"/>
    <cellStyle name="Currency 12 3 5 2" xfId="6522" xr:uid="{00000000-0005-0000-0000-0000CC180000}"/>
    <cellStyle name="Currency 12 3 6" xfId="6523" xr:uid="{00000000-0005-0000-0000-0000CD180000}"/>
    <cellStyle name="Currency 12 3 6 2" xfId="6524" xr:uid="{00000000-0005-0000-0000-0000CE180000}"/>
    <cellStyle name="Currency 12 3 7" xfId="6525" xr:uid="{00000000-0005-0000-0000-0000CF180000}"/>
    <cellStyle name="Currency 12 4" xfId="6526" xr:uid="{00000000-0005-0000-0000-0000D0180000}"/>
    <cellStyle name="Currency 12 4 2" xfId="6527" xr:uid="{00000000-0005-0000-0000-0000D1180000}"/>
    <cellStyle name="Currency 12 4 2 2" xfId="6528" xr:uid="{00000000-0005-0000-0000-0000D2180000}"/>
    <cellStyle name="Currency 12 4 2 2 2" xfId="6529" xr:uid="{00000000-0005-0000-0000-0000D3180000}"/>
    <cellStyle name="Currency 12 4 2 2 2 2" xfId="6530" xr:uid="{00000000-0005-0000-0000-0000D4180000}"/>
    <cellStyle name="Currency 12 4 2 2 3" xfId="6531" xr:uid="{00000000-0005-0000-0000-0000D5180000}"/>
    <cellStyle name="Currency 12 4 2 2 3 2" xfId="6532" xr:uid="{00000000-0005-0000-0000-0000D6180000}"/>
    <cellStyle name="Currency 12 4 2 2 4" xfId="6533" xr:uid="{00000000-0005-0000-0000-0000D7180000}"/>
    <cellStyle name="Currency 12 4 2 3" xfId="6534" xr:uid="{00000000-0005-0000-0000-0000D8180000}"/>
    <cellStyle name="Currency 12 4 2 3 2" xfId="6535" xr:uid="{00000000-0005-0000-0000-0000D9180000}"/>
    <cellStyle name="Currency 12 4 2 3 2 2" xfId="6536" xr:uid="{00000000-0005-0000-0000-0000DA180000}"/>
    <cellStyle name="Currency 12 4 2 3 3" xfId="6537" xr:uid="{00000000-0005-0000-0000-0000DB180000}"/>
    <cellStyle name="Currency 12 4 2 4" xfId="6538" xr:uid="{00000000-0005-0000-0000-0000DC180000}"/>
    <cellStyle name="Currency 12 4 2 4 2" xfId="6539" xr:uid="{00000000-0005-0000-0000-0000DD180000}"/>
    <cellStyle name="Currency 12 4 2 5" xfId="6540" xr:uid="{00000000-0005-0000-0000-0000DE180000}"/>
    <cellStyle name="Currency 12 4 2 5 2" xfId="6541" xr:uid="{00000000-0005-0000-0000-0000DF180000}"/>
    <cellStyle name="Currency 12 4 2 6" xfId="6542" xr:uid="{00000000-0005-0000-0000-0000E0180000}"/>
    <cellStyle name="Currency 12 4 3" xfId="6543" xr:uid="{00000000-0005-0000-0000-0000E1180000}"/>
    <cellStyle name="Currency 12 4 3 2" xfId="6544" xr:uid="{00000000-0005-0000-0000-0000E2180000}"/>
    <cellStyle name="Currency 12 4 3 2 2" xfId="6545" xr:uid="{00000000-0005-0000-0000-0000E3180000}"/>
    <cellStyle name="Currency 12 4 3 3" xfId="6546" xr:uid="{00000000-0005-0000-0000-0000E4180000}"/>
    <cellStyle name="Currency 12 4 3 3 2" xfId="6547" xr:uid="{00000000-0005-0000-0000-0000E5180000}"/>
    <cellStyle name="Currency 12 4 3 4" xfId="6548" xr:uid="{00000000-0005-0000-0000-0000E6180000}"/>
    <cellStyle name="Currency 12 4 4" xfId="6549" xr:uid="{00000000-0005-0000-0000-0000E7180000}"/>
    <cellStyle name="Currency 12 4 4 2" xfId="6550" xr:uid="{00000000-0005-0000-0000-0000E8180000}"/>
    <cellStyle name="Currency 12 4 4 2 2" xfId="6551" xr:uid="{00000000-0005-0000-0000-0000E9180000}"/>
    <cellStyle name="Currency 12 4 4 3" xfId="6552" xr:uid="{00000000-0005-0000-0000-0000EA180000}"/>
    <cellStyle name="Currency 12 4 5" xfId="6553" xr:uid="{00000000-0005-0000-0000-0000EB180000}"/>
    <cellStyle name="Currency 12 4 5 2" xfId="6554" xr:uid="{00000000-0005-0000-0000-0000EC180000}"/>
    <cellStyle name="Currency 12 4 6" xfId="6555" xr:uid="{00000000-0005-0000-0000-0000ED180000}"/>
    <cellStyle name="Currency 12 4 6 2" xfId="6556" xr:uid="{00000000-0005-0000-0000-0000EE180000}"/>
    <cellStyle name="Currency 12 4 7" xfId="6557" xr:uid="{00000000-0005-0000-0000-0000EF180000}"/>
    <cellStyle name="Currency 12 5" xfId="6558" xr:uid="{00000000-0005-0000-0000-0000F0180000}"/>
    <cellStyle name="Currency 13" xfId="86" xr:uid="{00000000-0005-0000-0000-0000F1180000}"/>
    <cellStyle name="Currency 13 2" xfId="6559" xr:uid="{00000000-0005-0000-0000-0000F2180000}"/>
    <cellStyle name="Currency 14" xfId="87" xr:uid="{00000000-0005-0000-0000-0000F3180000}"/>
    <cellStyle name="Currency 14 2" xfId="6560" xr:uid="{00000000-0005-0000-0000-0000F4180000}"/>
    <cellStyle name="Currency 15" xfId="88" xr:uid="{00000000-0005-0000-0000-0000F5180000}"/>
    <cellStyle name="Currency 15 2" xfId="6561" xr:uid="{00000000-0005-0000-0000-0000F6180000}"/>
    <cellStyle name="Currency 16" xfId="89" xr:uid="{00000000-0005-0000-0000-0000F7180000}"/>
    <cellStyle name="Currency 16 2" xfId="6562" xr:uid="{00000000-0005-0000-0000-0000F8180000}"/>
    <cellStyle name="Currency 17" xfId="90" xr:uid="{00000000-0005-0000-0000-0000F9180000}"/>
    <cellStyle name="Currency 17 2" xfId="6563" xr:uid="{00000000-0005-0000-0000-0000FA180000}"/>
    <cellStyle name="Currency 18" xfId="91" xr:uid="{00000000-0005-0000-0000-0000FB180000}"/>
    <cellStyle name="Currency 18 2" xfId="6564" xr:uid="{00000000-0005-0000-0000-0000FC180000}"/>
    <cellStyle name="Currency 19" xfId="92" xr:uid="{00000000-0005-0000-0000-0000FD180000}"/>
    <cellStyle name="Currency 19 2" xfId="6565" xr:uid="{00000000-0005-0000-0000-0000FE180000}"/>
    <cellStyle name="Currency 19 3" xfId="6566" xr:uid="{00000000-0005-0000-0000-0000FF180000}"/>
    <cellStyle name="Currency 19 3 2" xfId="6567" xr:uid="{00000000-0005-0000-0000-000000190000}"/>
    <cellStyle name="Currency 19 3 2 2" xfId="6568" xr:uid="{00000000-0005-0000-0000-000001190000}"/>
    <cellStyle name="Currency 2" xfId="93" xr:uid="{00000000-0005-0000-0000-000002190000}"/>
    <cellStyle name="Currency 2 2" xfId="94" xr:uid="{00000000-0005-0000-0000-000003190000}"/>
    <cellStyle name="Currency 2 2 2" xfId="95" xr:uid="{00000000-0005-0000-0000-000004190000}"/>
    <cellStyle name="Currency 2 2 2 2" xfId="6569" xr:uid="{00000000-0005-0000-0000-000005190000}"/>
    <cellStyle name="Currency 2 2 2 3" xfId="6570" xr:uid="{00000000-0005-0000-0000-000006190000}"/>
    <cellStyle name="Currency 2 2 3" xfId="6571" xr:uid="{00000000-0005-0000-0000-000007190000}"/>
    <cellStyle name="Currency 2 2 4" xfId="6572" xr:uid="{00000000-0005-0000-0000-000008190000}"/>
    <cellStyle name="Currency 2 3" xfId="6573" xr:uid="{00000000-0005-0000-0000-000009190000}"/>
    <cellStyle name="Currency 2 3 2" xfId="6574" xr:uid="{00000000-0005-0000-0000-00000A190000}"/>
    <cellStyle name="Currency 2 3 2 2" xfId="6575" xr:uid="{00000000-0005-0000-0000-00000B190000}"/>
    <cellStyle name="Currency 2 3 3" xfId="6576" xr:uid="{00000000-0005-0000-0000-00000C190000}"/>
    <cellStyle name="Currency 2 3 3 2" xfId="6577" xr:uid="{00000000-0005-0000-0000-00000D190000}"/>
    <cellStyle name="Currency 2 4" xfId="6578" xr:uid="{00000000-0005-0000-0000-00000E190000}"/>
    <cellStyle name="Currency 2 4 2" xfId="6579" xr:uid="{00000000-0005-0000-0000-00000F190000}"/>
    <cellStyle name="Currency 2 5" xfId="6580" xr:uid="{00000000-0005-0000-0000-000010190000}"/>
    <cellStyle name="Currency 2 5 2" xfId="6581" xr:uid="{00000000-0005-0000-0000-000011190000}"/>
    <cellStyle name="Currency 2 6" xfId="6582" xr:uid="{00000000-0005-0000-0000-000012190000}"/>
    <cellStyle name="Currency 2 6 2" xfId="6583" xr:uid="{00000000-0005-0000-0000-000013190000}"/>
    <cellStyle name="Currency 2 7" xfId="6584" xr:uid="{00000000-0005-0000-0000-000014190000}"/>
    <cellStyle name="Currency 2 7 2" xfId="6585" xr:uid="{00000000-0005-0000-0000-000015190000}"/>
    <cellStyle name="Currency 2 8" xfId="6586" xr:uid="{00000000-0005-0000-0000-000016190000}"/>
    <cellStyle name="Currency 2 8 2" xfId="6587" xr:uid="{00000000-0005-0000-0000-000017190000}"/>
    <cellStyle name="Currency 2 9" xfId="6588" xr:uid="{00000000-0005-0000-0000-000018190000}"/>
    <cellStyle name="Currency 2*" xfId="6589" xr:uid="{00000000-0005-0000-0000-000019190000}"/>
    <cellStyle name="Currency 2_Bally Total Fitness LBO v4.4" xfId="6590" xr:uid="{00000000-0005-0000-0000-00001A190000}"/>
    <cellStyle name="Currency 20" xfId="96" xr:uid="{00000000-0005-0000-0000-00001B190000}"/>
    <cellStyle name="Currency 20 2" xfId="6591" xr:uid="{00000000-0005-0000-0000-00001C190000}"/>
    <cellStyle name="Currency 20 2 2" xfId="6592" xr:uid="{00000000-0005-0000-0000-00001D190000}"/>
    <cellStyle name="Currency 20 3" xfId="6593" xr:uid="{00000000-0005-0000-0000-00001E190000}"/>
    <cellStyle name="Currency 21" xfId="97" xr:uid="{00000000-0005-0000-0000-00001F190000}"/>
    <cellStyle name="Currency 21 2" xfId="6594" xr:uid="{00000000-0005-0000-0000-000020190000}"/>
    <cellStyle name="Currency 21 3" xfId="6595" xr:uid="{00000000-0005-0000-0000-000021190000}"/>
    <cellStyle name="Currency 22" xfId="98" xr:uid="{00000000-0005-0000-0000-000022190000}"/>
    <cellStyle name="Currency 23" xfId="99" xr:uid="{00000000-0005-0000-0000-000023190000}"/>
    <cellStyle name="Currency 24" xfId="100" xr:uid="{00000000-0005-0000-0000-000024190000}"/>
    <cellStyle name="Currency 24 2" xfId="6596" xr:uid="{00000000-0005-0000-0000-000025190000}"/>
    <cellStyle name="Currency 25" xfId="101" xr:uid="{00000000-0005-0000-0000-000026190000}"/>
    <cellStyle name="Currency 25 2" xfId="6597" xr:uid="{00000000-0005-0000-0000-000027190000}"/>
    <cellStyle name="Currency 26" xfId="102" xr:uid="{00000000-0005-0000-0000-000028190000}"/>
    <cellStyle name="Currency 26 2" xfId="6598" xr:uid="{00000000-0005-0000-0000-000029190000}"/>
    <cellStyle name="Currency 27" xfId="103" xr:uid="{00000000-0005-0000-0000-00002A190000}"/>
    <cellStyle name="Currency 28" xfId="104" xr:uid="{00000000-0005-0000-0000-00002B190000}"/>
    <cellStyle name="Currency 28 2" xfId="6599" xr:uid="{00000000-0005-0000-0000-00002C190000}"/>
    <cellStyle name="Currency 29" xfId="105" xr:uid="{00000000-0005-0000-0000-00002D190000}"/>
    <cellStyle name="Currency 3" xfId="106" xr:uid="{00000000-0005-0000-0000-00002E190000}"/>
    <cellStyle name="Currency 3 2" xfId="107" xr:uid="{00000000-0005-0000-0000-00002F190000}"/>
    <cellStyle name="Currency 3 2 2" xfId="6600" xr:uid="{00000000-0005-0000-0000-000030190000}"/>
    <cellStyle name="Currency 3 2 2 2" xfId="6601" xr:uid="{00000000-0005-0000-0000-000031190000}"/>
    <cellStyle name="Currency 3 3" xfId="6602" xr:uid="{00000000-0005-0000-0000-000032190000}"/>
    <cellStyle name="Currency 3 3 2" xfId="6603" xr:uid="{00000000-0005-0000-0000-000033190000}"/>
    <cellStyle name="Currency 3 4" xfId="6604" xr:uid="{00000000-0005-0000-0000-000034190000}"/>
    <cellStyle name="Currency 3 4 2" xfId="6605" xr:uid="{00000000-0005-0000-0000-000035190000}"/>
    <cellStyle name="Currency 3 5" xfId="6606" xr:uid="{00000000-0005-0000-0000-000036190000}"/>
    <cellStyle name="Currency 3 6" xfId="6607" xr:uid="{00000000-0005-0000-0000-000037190000}"/>
    <cellStyle name="Currency 3*" xfId="6608" xr:uid="{00000000-0005-0000-0000-000038190000}"/>
    <cellStyle name="Currency 30" xfId="108" xr:uid="{00000000-0005-0000-0000-000039190000}"/>
    <cellStyle name="Currency 30 2" xfId="6609" xr:uid="{00000000-0005-0000-0000-00003A190000}"/>
    <cellStyle name="Currency 31" xfId="109" xr:uid="{00000000-0005-0000-0000-00003B190000}"/>
    <cellStyle name="Currency 31 2" xfId="6610" xr:uid="{00000000-0005-0000-0000-00003C190000}"/>
    <cellStyle name="Currency 32" xfId="110" xr:uid="{00000000-0005-0000-0000-00003D190000}"/>
    <cellStyle name="Currency 32 2" xfId="6611" xr:uid="{00000000-0005-0000-0000-00003E190000}"/>
    <cellStyle name="Currency 33" xfId="6612" xr:uid="{00000000-0005-0000-0000-00003F190000}"/>
    <cellStyle name="Currency 33 2" xfId="6613" xr:uid="{00000000-0005-0000-0000-000040190000}"/>
    <cellStyle name="Currency 34" xfId="6614" xr:uid="{00000000-0005-0000-0000-000041190000}"/>
    <cellStyle name="Currency 34 2" xfId="6615" xr:uid="{00000000-0005-0000-0000-000042190000}"/>
    <cellStyle name="Currency 35" xfId="6616" xr:uid="{00000000-0005-0000-0000-000043190000}"/>
    <cellStyle name="Currency 36" xfId="6617" xr:uid="{00000000-0005-0000-0000-000044190000}"/>
    <cellStyle name="Currency 36 2" xfId="6618" xr:uid="{00000000-0005-0000-0000-000045190000}"/>
    <cellStyle name="Currency 37" xfId="6619" xr:uid="{00000000-0005-0000-0000-000046190000}"/>
    <cellStyle name="Currency 37 2" xfId="6620" xr:uid="{00000000-0005-0000-0000-000047190000}"/>
    <cellStyle name="Currency 38" xfId="6621" xr:uid="{00000000-0005-0000-0000-000048190000}"/>
    <cellStyle name="Currency 39" xfId="6622" xr:uid="{00000000-0005-0000-0000-000049190000}"/>
    <cellStyle name="Currency 4" xfId="111" xr:uid="{00000000-0005-0000-0000-00004A190000}"/>
    <cellStyle name="Currency 4 2" xfId="112" xr:uid="{00000000-0005-0000-0000-00004B190000}"/>
    <cellStyle name="Currency 4 2 2" xfId="113" xr:uid="{00000000-0005-0000-0000-00004C190000}"/>
    <cellStyle name="Currency 4 2 3" xfId="6623" xr:uid="{00000000-0005-0000-0000-00004D190000}"/>
    <cellStyle name="Currency 4 3" xfId="114" xr:uid="{00000000-0005-0000-0000-00004E190000}"/>
    <cellStyle name="Currency 4 3 2" xfId="6624" xr:uid="{00000000-0005-0000-0000-00004F190000}"/>
    <cellStyle name="Currency 4 3 2 2" xfId="6625" xr:uid="{00000000-0005-0000-0000-000050190000}"/>
    <cellStyle name="Currency 4 3 2 2 2" xfId="6626" xr:uid="{00000000-0005-0000-0000-000051190000}"/>
    <cellStyle name="Currency 4 3 2 3" xfId="6627" xr:uid="{00000000-0005-0000-0000-000052190000}"/>
    <cellStyle name="Currency 4 3 3" xfId="6628" xr:uid="{00000000-0005-0000-0000-000053190000}"/>
    <cellStyle name="Currency 4 4" xfId="115" xr:uid="{00000000-0005-0000-0000-000054190000}"/>
    <cellStyle name="Currency 4 4 2" xfId="6629" xr:uid="{00000000-0005-0000-0000-000055190000}"/>
    <cellStyle name="Currency 4 5" xfId="6630" xr:uid="{00000000-0005-0000-0000-000056190000}"/>
    <cellStyle name="Currency 4 6" xfId="6631" xr:uid="{00000000-0005-0000-0000-000057190000}"/>
    <cellStyle name="Currency 40" xfId="6632" xr:uid="{00000000-0005-0000-0000-000058190000}"/>
    <cellStyle name="Currency 41" xfId="6633" xr:uid="{00000000-0005-0000-0000-000059190000}"/>
    <cellStyle name="Currency 41 2" xfId="6634" xr:uid="{00000000-0005-0000-0000-00005A190000}"/>
    <cellStyle name="Currency 42" xfId="6635" xr:uid="{00000000-0005-0000-0000-00005B190000}"/>
    <cellStyle name="Currency 42 2" xfId="6636" xr:uid="{00000000-0005-0000-0000-00005C190000}"/>
    <cellStyle name="Currency 43" xfId="6637" xr:uid="{00000000-0005-0000-0000-00005D190000}"/>
    <cellStyle name="Currency 43 2" xfId="6638" xr:uid="{00000000-0005-0000-0000-00005E190000}"/>
    <cellStyle name="Currency 44" xfId="6639" xr:uid="{00000000-0005-0000-0000-00005F190000}"/>
    <cellStyle name="Currency 45" xfId="6640" xr:uid="{00000000-0005-0000-0000-000060190000}"/>
    <cellStyle name="Currency 45 2" xfId="6641" xr:uid="{00000000-0005-0000-0000-000061190000}"/>
    <cellStyle name="Currency 45 2 2" xfId="6642" xr:uid="{00000000-0005-0000-0000-000062190000}"/>
    <cellStyle name="Currency 45 2 2 2" xfId="6643" xr:uid="{00000000-0005-0000-0000-000063190000}"/>
    <cellStyle name="Currency 45 2 2 2 2" xfId="6644" xr:uid="{00000000-0005-0000-0000-000064190000}"/>
    <cellStyle name="Currency 45 2 2 2 2 2" xfId="6645" xr:uid="{00000000-0005-0000-0000-000065190000}"/>
    <cellStyle name="Currency 45 2 2 2 3" xfId="6646" xr:uid="{00000000-0005-0000-0000-000066190000}"/>
    <cellStyle name="Currency 45 2 2 2 3 2" xfId="6647" xr:uid="{00000000-0005-0000-0000-000067190000}"/>
    <cellStyle name="Currency 45 2 2 2 4" xfId="6648" xr:uid="{00000000-0005-0000-0000-000068190000}"/>
    <cellStyle name="Currency 45 2 2 3" xfId="6649" xr:uid="{00000000-0005-0000-0000-000069190000}"/>
    <cellStyle name="Currency 45 2 2 3 2" xfId="6650" xr:uid="{00000000-0005-0000-0000-00006A190000}"/>
    <cellStyle name="Currency 45 2 2 3 2 2" xfId="6651" xr:uid="{00000000-0005-0000-0000-00006B190000}"/>
    <cellStyle name="Currency 45 2 2 3 3" xfId="6652" xr:uid="{00000000-0005-0000-0000-00006C190000}"/>
    <cellStyle name="Currency 45 2 2 4" xfId="6653" xr:uid="{00000000-0005-0000-0000-00006D190000}"/>
    <cellStyle name="Currency 45 2 2 4 2" xfId="6654" xr:uid="{00000000-0005-0000-0000-00006E190000}"/>
    <cellStyle name="Currency 45 2 2 5" xfId="6655" xr:uid="{00000000-0005-0000-0000-00006F190000}"/>
    <cellStyle name="Currency 45 2 2 5 2" xfId="6656" xr:uid="{00000000-0005-0000-0000-000070190000}"/>
    <cellStyle name="Currency 45 2 2 6" xfId="6657" xr:uid="{00000000-0005-0000-0000-000071190000}"/>
    <cellStyle name="Currency 45 2 3" xfId="6658" xr:uid="{00000000-0005-0000-0000-000072190000}"/>
    <cellStyle name="Currency 45 2 3 2" xfId="6659" xr:uid="{00000000-0005-0000-0000-000073190000}"/>
    <cellStyle name="Currency 45 2 3 2 2" xfId="6660" xr:uid="{00000000-0005-0000-0000-000074190000}"/>
    <cellStyle name="Currency 45 2 3 3" xfId="6661" xr:uid="{00000000-0005-0000-0000-000075190000}"/>
    <cellStyle name="Currency 45 2 3 3 2" xfId="6662" xr:uid="{00000000-0005-0000-0000-000076190000}"/>
    <cellStyle name="Currency 45 2 3 4" xfId="6663" xr:uid="{00000000-0005-0000-0000-000077190000}"/>
    <cellStyle name="Currency 45 2 4" xfId="6664" xr:uid="{00000000-0005-0000-0000-000078190000}"/>
    <cellStyle name="Currency 45 2 4 2" xfId="6665" xr:uid="{00000000-0005-0000-0000-000079190000}"/>
    <cellStyle name="Currency 45 2 4 2 2" xfId="6666" xr:uid="{00000000-0005-0000-0000-00007A190000}"/>
    <cellStyle name="Currency 45 2 4 3" xfId="6667" xr:uid="{00000000-0005-0000-0000-00007B190000}"/>
    <cellStyle name="Currency 45 2 5" xfId="6668" xr:uid="{00000000-0005-0000-0000-00007C190000}"/>
    <cellStyle name="Currency 45 2 5 2" xfId="6669" xr:uid="{00000000-0005-0000-0000-00007D190000}"/>
    <cellStyle name="Currency 45 2 6" xfId="6670" xr:uid="{00000000-0005-0000-0000-00007E190000}"/>
    <cellStyle name="Currency 45 2 6 2" xfId="6671" xr:uid="{00000000-0005-0000-0000-00007F190000}"/>
    <cellStyle name="Currency 45 2 7" xfId="6672" xr:uid="{00000000-0005-0000-0000-000080190000}"/>
    <cellStyle name="Currency 45 3" xfId="6673" xr:uid="{00000000-0005-0000-0000-000081190000}"/>
    <cellStyle name="Currency 45 3 2" xfId="6674" xr:uid="{00000000-0005-0000-0000-000082190000}"/>
    <cellStyle name="Currency 45 3 2 2" xfId="6675" xr:uid="{00000000-0005-0000-0000-000083190000}"/>
    <cellStyle name="Currency 45 3 2 2 2" xfId="6676" xr:uid="{00000000-0005-0000-0000-000084190000}"/>
    <cellStyle name="Currency 45 3 2 3" xfId="6677" xr:uid="{00000000-0005-0000-0000-000085190000}"/>
    <cellStyle name="Currency 45 3 2 3 2" xfId="6678" xr:uid="{00000000-0005-0000-0000-000086190000}"/>
    <cellStyle name="Currency 45 3 2 4" xfId="6679" xr:uid="{00000000-0005-0000-0000-000087190000}"/>
    <cellStyle name="Currency 45 3 3" xfId="6680" xr:uid="{00000000-0005-0000-0000-000088190000}"/>
    <cellStyle name="Currency 45 3 3 2" xfId="6681" xr:uid="{00000000-0005-0000-0000-000089190000}"/>
    <cellStyle name="Currency 45 3 3 2 2" xfId="6682" xr:uid="{00000000-0005-0000-0000-00008A190000}"/>
    <cellStyle name="Currency 45 3 3 3" xfId="6683" xr:uid="{00000000-0005-0000-0000-00008B190000}"/>
    <cellStyle name="Currency 45 3 4" xfId="6684" xr:uid="{00000000-0005-0000-0000-00008C190000}"/>
    <cellStyle name="Currency 45 3 4 2" xfId="6685" xr:uid="{00000000-0005-0000-0000-00008D190000}"/>
    <cellStyle name="Currency 45 3 5" xfId="6686" xr:uid="{00000000-0005-0000-0000-00008E190000}"/>
    <cellStyle name="Currency 45 3 5 2" xfId="6687" xr:uid="{00000000-0005-0000-0000-00008F190000}"/>
    <cellStyle name="Currency 45 3 6" xfId="6688" xr:uid="{00000000-0005-0000-0000-000090190000}"/>
    <cellStyle name="Currency 45 4" xfId="6689" xr:uid="{00000000-0005-0000-0000-000091190000}"/>
    <cellStyle name="Currency 45 4 2" xfId="6690" xr:uid="{00000000-0005-0000-0000-000092190000}"/>
    <cellStyle name="Currency 45 4 2 2" xfId="6691" xr:uid="{00000000-0005-0000-0000-000093190000}"/>
    <cellStyle name="Currency 45 4 3" xfId="6692" xr:uid="{00000000-0005-0000-0000-000094190000}"/>
    <cellStyle name="Currency 45 4 3 2" xfId="6693" xr:uid="{00000000-0005-0000-0000-000095190000}"/>
    <cellStyle name="Currency 45 4 4" xfId="6694" xr:uid="{00000000-0005-0000-0000-000096190000}"/>
    <cellStyle name="Currency 45 5" xfId="6695" xr:uid="{00000000-0005-0000-0000-000097190000}"/>
    <cellStyle name="Currency 45 5 2" xfId="6696" xr:uid="{00000000-0005-0000-0000-000098190000}"/>
    <cellStyle name="Currency 45 5 2 2" xfId="6697" xr:uid="{00000000-0005-0000-0000-000099190000}"/>
    <cellStyle name="Currency 45 5 3" xfId="6698" xr:uid="{00000000-0005-0000-0000-00009A190000}"/>
    <cellStyle name="Currency 45 6" xfId="6699" xr:uid="{00000000-0005-0000-0000-00009B190000}"/>
    <cellStyle name="Currency 45 6 2" xfId="6700" xr:uid="{00000000-0005-0000-0000-00009C190000}"/>
    <cellStyle name="Currency 45 7" xfId="6701" xr:uid="{00000000-0005-0000-0000-00009D190000}"/>
    <cellStyle name="Currency 45 7 2" xfId="6702" xr:uid="{00000000-0005-0000-0000-00009E190000}"/>
    <cellStyle name="Currency 45 8" xfId="6703" xr:uid="{00000000-0005-0000-0000-00009F190000}"/>
    <cellStyle name="Currency 46" xfId="6704" xr:uid="{00000000-0005-0000-0000-0000A0190000}"/>
    <cellStyle name="Currency 46 2" xfId="6705" xr:uid="{00000000-0005-0000-0000-0000A1190000}"/>
    <cellStyle name="Currency 46 3" xfId="6706" xr:uid="{00000000-0005-0000-0000-0000A2190000}"/>
    <cellStyle name="Currency 46 3 2" xfId="6707" xr:uid="{00000000-0005-0000-0000-0000A3190000}"/>
    <cellStyle name="Currency 46 4" xfId="6708" xr:uid="{00000000-0005-0000-0000-0000A4190000}"/>
    <cellStyle name="Currency 46 5" xfId="6709" xr:uid="{00000000-0005-0000-0000-0000A5190000}"/>
    <cellStyle name="Currency 47" xfId="6710" xr:uid="{00000000-0005-0000-0000-0000A6190000}"/>
    <cellStyle name="Currency 47 2" xfId="6711" xr:uid="{00000000-0005-0000-0000-0000A7190000}"/>
    <cellStyle name="Currency 48" xfId="6712" xr:uid="{00000000-0005-0000-0000-0000A8190000}"/>
    <cellStyle name="Currency 48 2" xfId="6713" xr:uid="{00000000-0005-0000-0000-0000A9190000}"/>
    <cellStyle name="Currency 49" xfId="6714" xr:uid="{00000000-0005-0000-0000-0000AA190000}"/>
    <cellStyle name="Currency 49 2" xfId="6715" xr:uid="{00000000-0005-0000-0000-0000AB190000}"/>
    <cellStyle name="Currency 49 2 2" xfId="6716" xr:uid="{00000000-0005-0000-0000-0000AC190000}"/>
    <cellStyle name="Currency 49 2 3" xfId="6717" xr:uid="{00000000-0005-0000-0000-0000AD190000}"/>
    <cellStyle name="Currency 49 3" xfId="6718" xr:uid="{00000000-0005-0000-0000-0000AE190000}"/>
    <cellStyle name="Currency 49 3 2" xfId="6719" xr:uid="{00000000-0005-0000-0000-0000AF190000}"/>
    <cellStyle name="Currency 49 3 3" xfId="6720" xr:uid="{00000000-0005-0000-0000-0000B0190000}"/>
    <cellStyle name="Currency 49 4" xfId="6721" xr:uid="{00000000-0005-0000-0000-0000B1190000}"/>
    <cellStyle name="Currency 49 4 2" xfId="6722" xr:uid="{00000000-0005-0000-0000-0000B2190000}"/>
    <cellStyle name="Currency 49 5" xfId="6723" xr:uid="{00000000-0005-0000-0000-0000B3190000}"/>
    <cellStyle name="Currency 5" xfId="116" xr:uid="{00000000-0005-0000-0000-0000B4190000}"/>
    <cellStyle name="Currency 5 2" xfId="117" xr:uid="{00000000-0005-0000-0000-0000B5190000}"/>
    <cellStyle name="Currency 5 2 2" xfId="6724" xr:uid="{00000000-0005-0000-0000-0000B6190000}"/>
    <cellStyle name="Currency 5 2 2 2" xfId="6725" xr:uid="{00000000-0005-0000-0000-0000B7190000}"/>
    <cellStyle name="Currency 5 2 3" xfId="6726" xr:uid="{00000000-0005-0000-0000-0000B8190000}"/>
    <cellStyle name="Currency 5 2 3 2" xfId="6727" xr:uid="{00000000-0005-0000-0000-0000B9190000}"/>
    <cellStyle name="Currency 5 2 3 2 2" xfId="6728" xr:uid="{00000000-0005-0000-0000-0000BA190000}"/>
    <cellStyle name="Currency 5 2 3 2 2 2" xfId="6729" xr:uid="{00000000-0005-0000-0000-0000BB190000}"/>
    <cellStyle name="Currency 5 2 3 2 3" xfId="6730" xr:uid="{00000000-0005-0000-0000-0000BC190000}"/>
    <cellStyle name="Currency 5 2 3 2 3 2" xfId="6731" xr:uid="{00000000-0005-0000-0000-0000BD190000}"/>
    <cellStyle name="Currency 5 2 3 2 4" xfId="6732" xr:uid="{00000000-0005-0000-0000-0000BE190000}"/>
    <cellStyle name="Currency 5 2 3 3" xfId="6733" xr:uid="{00000000-0005-0000-0000-0000BF190000}"/>
    <cellStyle name="Currency 5 2 3 3 2" xfId="6734" xr:uid="{00000000-0005-0000-0000-0000C0190000}"/>
    <cellStyle name="Currency 5 2 3 3 2 2" xfId="6735" xr:uid="{00000000-0005-0000-0000-0000C1190000}"/>
    <cellStyle name="Currency 5 2 3 3 3" xfId="6736" xr:uid="{00000000-0005-0000-0000-0000C2190000}"/>
    <cellStyle name="Currency 5 2 3 4" xfId="6737" xr:uid="{00000000-0005-0000-0000-0000C3190000}"/>
    <cellStyle name="Currency 5 2 3 4 2" xfId="6738" xr:uid="{00000000-0005-0000-0000-0000C4190000}"/>
    <cellStyle name="Currency 5 2 3 5" xfId="6739" xr:uid="{00000000-0005-0000-0000-0000C5190000}"/>
    <cellStyle name="Currency 5 2 3 5 2" xfId="6740" xr:uid="{00000000-0005-0000-0000-0000C6190000}"/>
    <cellStyle name="Currency 5 2 3 6" xfId="6741" xr:uid="{00000000-0005-0000-0000-0000C7190000}"/>
    <cellStyle name="Currency 5 2 4" xfId="6742" xr:uid="{00000000-0005-0000-0000-0000C8190000}"/>
    <cellStyle name="Currency 5 2 4 2" xfId="6743" xr:uid="{00000000-0005-0000-0000-0000C9190000}"/>
    <cellStyle name="Currency 5 2 4 2 2" xfId="6744" xr:uid="{00000000-0005-0000-0000-0000CA190000}"/>
    <cellStyle name="Currency 5 2 4 3" xfId="6745" xr:uid="{00000000-0005-0000-0000-0000CB190000}"/>
    <cellStyle name="Currency 5 2 4 3 2" xfId="6746" xr:uid="{00000000-0005-0000-0000-0000CC190000}"/>
    <cellStyle name="Currency 5 2 4 4" xfId="6747" xr:uid="{00000000-0005-0000-0000-0000CD190000}"/>
    <cellStyle name="Currency 5 2 5" xfId="6748" xr:uid="{00000000-0005-0000-0000-0000CE190000}"/>
    <cellStyle name="Currency 5 2 5 2" xfId="6749" xr:uid="{00000000-0005-0000-0000-0000CF190000}"/>
    <cellStyle name="Currency 5 2 5 2 2" xfId="6750" xr:uid="{00000000-0005-0000-0000-0000D0190000}"/>
    <cellStyle name="Currency 5 2 5 3" xfId="6751" xr:uid="{00000000-0005-0000-0000-0000D1190000}"/>
    <cellStyle name="Currency 5 2 6" xfId="6752" xr:uid="{00000000-0005-0000-0000-0000D2190000}"/>
    <cellStyle name="Currency 5 2 6 2" xfId="6753" xr:uid="{00000000-0005-0000-0000-0000D3190000}"/>
    <cellStyle name="Currency 5 2 7" xfId="6754" xr:uid="{00000000-0005-0000-0000-0000D4190000}"/>
    <cellStyle name="Currency 5 2 7 2" xfId="6755" xr:uid="{00000000-0005-0000-0000-0000D5190000}"/>
    <cellStyle name="Currency 5 2 8" xfId="6756" xr:uid="{00000000-0005-0000-0000-0000D6190000}"/>
    <cellStyle name="Currency 5 3" xfId="6757" xr:uid="{00000000-0005-0000-0000-0000D7190000}"/>
    <cellStyle name="Currency 5 3 2" xfId="6758" xr:uid="{00000000-0005-0000-0000-0000D8190000}"/>
    <cellStyle name="Currency 5 3 2 2" xfId="6759" xr:uid="{00000000-0005-0000-0000-0000D9190000}"/>
    <cellStyle name="Currency 5 3 3" xfId="6760" xr:uid="{00000000-0005-0000-0000-0000DA190000}"/>
    <cellStyle name="Currency 5 3 3 2" xfId="6761" xr:uid="{00000000-0005-0000-0000-0000DB190000}"/>
    <cellStyle name="Currency 5 4" xfId="6762" xr:uid="{00000000-0005-0000-0000-0000DC190000}"/>
    <cellStyle name="Currency 5 4 2" xfId="6763" xr:uid="{00000000-0005-0000-0000-0000DD190000}"/>
    <cellStyle name="Currency 5 5" xfId="6764" xr:uid="{00000000-0005-0000-0000-0000DE190000}"/>
    <cellStyle name="Currency 50" xfId="6765" xr:uid="{00000000-0005-0000-0000-0000DF190000}"/>
    <cellStyle name="Currency 50 2" xfId="6766" xr:uid="{00000000-0005-0000-0000-0000E0190000}"/>
    <cellStyle name="Currency 51" xfId="6767" xr:uid="{00000000-0005-0000-0000-0000E1190000}"/>
    <cellStyle name="Currency 51 2" xfId="6768" xr:uid="{00000000-0005-0000-0000-0000E2190000}"/>
    <cellStyle name="Currency 52" xfId="6769" xr:uid="{00000000-0005-0000-0000-0000E3190000}"/>
    <cellStyle name="Currency 52 2" xfId="6770" xr:uid="{00000000-0005-0000-0000-0000E4190000}"/>
    <cellStyle name="Currency 53" xfId="6771" xr:uid="{00000000-0005-0000-0000-0000E5190000}"/>
    <cellStyle name="Currency 54" xfId="6772" xr:uid="{00000000-0005-0000-0000-0000E6190000}"/>
    <cellStyle name="Currency 55" xfId="6773" xr:uid="{00000000-0005-0000-0000-0000E7190000}"/>
    <cellStyle name="Currency 56" xfId="6774" xr:uid="{00000000-0005-0000-0000-0000E8190000}"/>
    <cellStyle name="Currency 57" xfId="6775" xr:uid="{00000000-0005-0000-0000-0000E9190000}"/>
    <cellStyle name="Currency 58" xfId="6776" xr:uid="{00000000-0005-0000-0000-0000EA190000}"/>
    <cellStyle name="Currency 59" xfId="6777" xr:uid="{00000000-0005-0000-0000-0000EB190000}"/>
    <cellStyle name="Currency 6" xfId="118" xr:uid="{00000000-0005-0000-0000-0000EC190000}"/>
    <cellStyle name="Currency 6 2" xfId="6778" xr:uid="{00000000-0005-0000-0000-0000ED190000}"/>
    <cellStyle name="Currency 6 2 2" xfId="6779" xr:uid="{00000000-0005-0000-0000-0000EE190000}"/>
    <cellStyle name="Currency 6 2 2 2" xfId="6780" xr:uid="{00000000-0005-0000-0000-0000EF190000}"/>
    <cellStyle name="Currency 6 2 3" xfId="6781" xr:uid="{00000000-0005-0000-0000-0000F0190000}"/>
    <cellStyle name="Currency 6 2 3 2" xfId="6782" xr:uid="{00000000-0005-0000-0000-0000F1190000}"/>
    <cellStyle name="Currency 6 2 3 2 2" xfId="6783" xr:uid="{00000000-0005-0000-0000-0000F2190000}"/>
    <cellStyle name="Currency 6 2 3 2 2 2" xfId="6784" xr:uid="{00000000-0005-0000-0000-0000F3190000}"/>
    <cellStyle name="Currency 6 2 3 2 3" xfId="6785" xr:uid="{00000000-0005-0000-0000-0000F4190000}"/>
    <cellStyle name="Currency 6 2 3 2 3 2" xfId="6786" xr:uid="{00000000-0005-0000-0000-0000F5190000}"/>
    <cellStyle name="Currency 6 2 3 2 4" xfId="6787" xr:uid="{00000000-0005-0000-0000-0000F6190000}"/>
    <cellStyle name="Currency 6 2 3 3" xfId="6788" xr:uid="{00000000-0005-0000-0000-0000F7190000}"/>
    <cellStyle name="Currency 6 2 3 3 2" xfId="6789" xr:uid="{00000000-0005-0000-0000-0000F8190000}"/>
    <cellStyle name="Currency 6 2 3 3 2 2" xfId="6790" xr:uid="{00000000-0005-0000-0000-0000F9190000}"/>
    <cellStyle name="Currency 6 2 3 3 3" xfId="6791" xr:uid="{00000000-0005-0000-0000-0000FA190000}"/>
    <cellStyle name="Currency 6 2 3 4" xfId="6792" xr:uid="{00000000-0005-0000-0000-0000FB190000}"/>
    <cellStyle name="Currency 6 2 3 4 2" xfId="6793" xr:uid="{00000000-0005-0000-0000-0000FC190000}"/>
    <cellStyle name="Currency 6 2 3 5" xfId="6794" xr:uid="{00000000-0005-0000-0000-0000FD190000}"/>
    <cellStyle name="Currency 6 2 3 5 2" xfId="6795" xr:uid="{00000000-0005-0000-0000-0000FE190000}"/>
    <cellStyle name="Currency 6 2 3 6" xfId="6796" xr:uid="{00000000-0005-0000-0000-0000FF190000}"/>
    <cellStyle name="Currency 6 2 4" xfId="6797" xr:uid="{00000000-0005-0000-0000-0000001A0000}"/>
    <cellStyle name="Currency 6 2 4 2" xfId="6798" xr:uid="{00000000-0005-0000-0000-0000011A0000}"/>
    <cellStyle name="Currency 6 2 4 2 2" xfId="6799" xr:uid="{00000000-0005-0000-0000-0000021A0000}"/>
    <cellStyle name="Currency 6 2 4 3" xfId="6800" xr:uid="{00000000-0005-0000-0000-0000031A0000}"/>
    <cellStyle name="Currency 6 2 4 3 2" xfId="6801" xr:uid="{00000000-0005-0000-0000-0000041A0000}"/>
    <cellStyle name="Currency 6 2 4 4" xfId="6802" xr:uid="{00000000-0005-0000-0000-0000051A0000}"/>
    <cellStyle name="Currency 6 2 5" xfId="6803" xr:uid="{00000000-0005-0000-0000-0000061A0000}"/>
    <cellStyle name="Currency 6 2 5 2" xfId="6804" xr:uid="{00000000-0005-0000-0000-0000071A0000}"/>
    <cellStyle name="Currency 6 2 5 2 2" xfId="6805" xr:uid="{00000000-0005-0000-0000-0000081A0000}"/>
    <cellStyle name="Currency 6 2 5 3" xfId="6806" xr:uid="{00000000-0005-0000-0000-0000091A0000}"/>
    <cellStyle name="Currency 6 2 6" xfId="6807" xr:uid="{00000000-0005-0000-0000-00000A1A0000}"/>
    <cellStyle name="Currency 6 2 6 2" xfId="6808" xr:uid="{00000000-0005-0000-0000-00000B1A0000}"/>
    <cellStyle name="Currency 6 2 7" xfId="6809" xr:uid="{00000000-0005-0000-0000-00000C1A0000}"/>
    <cellStyle name="Currency 6 2 7 2" xfId="6810" xr:uid="{00000000-0005-0000-0000-00000D1A0000}"/>
    <cellStyle name="Currency 6 2 8" xfId="6811" xr:uid="{00000000-0005-0000-0000-00000E1A0000}"/>
    <cellStyle name="Currency 6 3" xfId="6812" xr:uid="{00000000-0005-0000-0000-00000F1A0000}"/>
    <cellStyle name="Currency 6 3 2" xfId="6813" xr:uid="{00000000-0005-0000-0000-0000101A0000}"/>
    <cellStyle name="Currency 6 4" xfId="6814" xr:uid="{00000000-0005-0000-0000-0000111A0000}"/>
    <cellStyle name="Currency 6 4 2" xfId="6815" xr:uid="{00000000-0005-0000-0000-0000121A0000}"/>
    <cellStyle name="Currency 6 5" xfId="6816" xr:uid="{00000000-0005-0000-0000-0000131A0000}"/>
    <cellStyle name="Currency 60" xfId="6817" xr:uid="{00000000-0005-0000-0000-0000141A0000}"/>
    <cellStyle name="Currency 61" xfId="6818" xr:uid="{00000000-0005-0000-0000-0000151A0000}"/>
    <cellStyle name="Currency 62" xfId="6819" xr:uid="{00000000-0005-0000-0000-0000161A0000}"/>
    <cellStyle name="Currency 63" xfId="6820" xr:uid="{00000000-0005-0000-0000-0000171A0000}"/>
    <cellStyle name="Currency 64" xfId="6821" xr:uid="{00000000-0005-0000-0000-0000181A0000}"/>
    <cellStyle name="Currency 65" xfId="6822" xr:uid="{00000000-0005-0000-0000-0000191A0000}"/>
    <cellStyle name="Currency 66" xfId="6823" xr:uid="{00000000-0005-0000-0000-00001A1A0000}"/>
    <cellStyle name="Currency 67" xfId="6824" xr:uid="{00000000-0005-0000-0000-00001B1A0000}"/>
    <cellStyle name="Currency 68" xfId="6825" xr:uid="{00000000-0005-0000-0000-00001C1A0000}"/>
    <cellStyle name="Currency 69" xfId="6826" xr:uid="{00000000-0005-0000-0000-00001D1A0000}"/>
    <cellStyle name="Currency 7" xfId="119" xr:uid="{00000000-0005-0000-0000-00001E1A0000}"/>
    <cellStyle name="Currency 7 2" xfId="6827" xr:uid="{00000000-0005-0000-0000-00001F1A0000}"/>
    <cellStyle name="Currency 7 2 2" xfId="6828" xr:uid="{00000000-0005-0000-0000-0000201A0000}"/>
    <cellStyle name="Currency 7 2 2 2" xfId="6829" xr:uid="{00000000-0005-0000-0000-0000211A0000}"/>
    <cellStyle name="Currency 7 3" xfId="6830" xr:uid="{00000000-0005-0000-0000-0000221A0000}"/>
    <cellStyle name="Currency 7 3 2" xfId="6831" xr:uid="{00000000-0005-0000-0000-0000231A0000}"/>
    <cellStyle name="Currency 7 4" xfId="6832" xr:uid="{00000000-0005-0000-0000-0000241A0000}"/>
    <cellStyle name="Currency 7 4 2" xfId="6833" xr:uid="{00000000-0005-0000-0000-0000251A0000}"/>
    <cellStyle name="Currency 7 5" xfId="6834" xr:uid="{00000000-0005-0000-0000-0000261A0000}"/>
    <cellStyle name="Currency 70" xfId="6835" xr:uid="{00000000-0005-0000-0000-0000271A0000}"/>
    <cellStyle name="Currency 71" xfId="6836" xr:uid="{00000000-0005-0000-0000-0000281A0000}"/>
    <cellStyle name="Currency 72" xfId="6837" xr:uid="{00000000-0005-0000-0000-0000291A0000}"/>
    <cellStyle name="Currency 73" xfId="6838" xr:uid="{00000000-0005-0000-0000-00002A1A0000}"/>
    <cellStyle name="Currency 74" xfId="6839" xr:uid="{00000000-0005-0000-0000-00002B1A0000}"/>
    <cellStyle name="Currency 75" xfId="6840" xr:uid="{00000000-0005-0000-0000-00002C1A0000}"/>
    <cellStyle name="Currency 76" xfId="6841" xr:uid="{00000000-0005-0000-0000-00002D1A0000}"/>
    <cellStyle name="Currency 77" xfId="6842" xr:uid="{00000000-0005-0000-0000-00002E1A0000}"/>
    <cellStyle name="Currency 78" xfId="6843" xr:uid="{00000000-0005-0000-0000-00002F1A0000}"/>
    <cellStyle name="Currency 79" xfId="6844" xr:uid="{00000000-0005-0000-0000-0000301A0000}"/>
    <cellStyle name="Currency 8" xfId="120" xr:uid="{00000000-0005-0000-0000-0000311A0000}"/>
    <cellStyle name="Currency 8 2" xfId="6845" xr:uid="{00000000-0005-0000-0000-0000321A0000}"/>
    <cellStyle name="Currency 8 2 2" xfId="6846" xr:uid="{00000000-0005-0000-0000-0000331A0000}"/>
    <cellStyle name="Currency 8 2 2 2" xfId="6847" xr:uid="{00000000-0005-0000-0000-0000341A0000}"/>
    <cellStyle name="Currency 8 3" xfId="6848" xr:uid="{00000000-0005-0000-0000-0000351A0000}"/>
    <cellStyle name="Currency 8 4" xfId="6849" xr:uid="{00000000-0005-0000-0000-0000361A0000}"/>
    <cellStyle name="Currency 80" xfId="6850" xr:uid="{00000000-0005-0000-0000-0000371A0000}"/>
    <cellStyle name="Currency 81" xfId="6851" xr:uid="{00000000-0005-0000-0000-0000381A0000}"/>
    <cellStyle name="Currency 82" xfId="6852" xr:uid="{00000000-0005-0000-0000-0000391A0000}"/>
    <cellStyle name="Currency 83" xfId="6853" xr:uid="{00000000-0005-0000-0000-00003A1A0000}"/>
    <cellStyle name="Currency 84" xfId="6854" xr:uid="{00000000-0005-0000-0000-00003B1A0000}"/>
    <cellStyle name="Currency 85" xfId="6855" xr:uid="{00000000-0005-0000-0000-00003C1A0000}"/>
    <cellStyle name="Currency 86" xfId="6856" xr:uid="{00000000-0005-0000-0000-00003D1A0000}"/>
    <cellStyle name="Currency 87" xfId="6857" xr:uid="{00000000-0005-0000-0000-00003E1A0000}"/>
    <cellStyle name="Currency 88" xfId="6858" xr:uid="{00000000-0005-0000-0000-00003F1A0000}"/>
    <cellStyle name="Currency 89" xfId="6859" xr:uid="{00000000-0005-0000-0000-0000401A0000}"/>
    <cellStyle name="Currency 9" xfId="121" xr:uid="{00000000-0005-0000-0000-0000411A0000}"/>
    <cellStyle name="Currency 9 2" xfId="6860" xr:uid="{00000000-0005-0000-0000-0000421A0000}"/>
    <cellStyle name="Currency 9 2 2" xfId="6861" xr:uid="{00000000-0005-0000-0000-0000431A0000}"/>
    <cellStyle name="Currency 9 2 2 2" xfId="6862" xr:uid="{00000000-0005-0000-0000-0000441A0000}"/>
    <cellStyle name="Currency 9 3" xfId="6863" xr:uid="{00000000-0005-0000-0000-0000451A0000}"/>
    <cellStyle name="Currency 90" xfId="6864" xr:uid="{00000000-0005-0000-0000-0000461A0000}"/>
    <cellStyle name="Currency 91" xfId="6865" xr:uid="{00000000-0005-0000-0000-0000471A0000}"/>
    <cellStyle name="Currency 92" xfId="6866" xr:uid="{00000000-0005-0000-0000-0000481A0000}"/>
    <cellStyle name="Currency 93" xfId="6867" xr:uid="{00000000-0005-0000-0000-0000491A0000}"/>
    <cellStyle name="Currency 94" xfId="6868" xr:uid="{00000000-0005-0000-0000-00004A1A0000}"/>
    <cellStyle name="Currency 95" xfId="6869" xr:uid="{00000000-0005-0000-0000-00004B1A0000}"/>
    <cellStyle name="Currency 96" xfId="6870" xr:uid="{00000000-0005-0000-0000-00004C1A0000}"/>
    <cellStyle name="Currency 97" xfId="6871" xr:uid="{00000000-0005-0000-0000-00004D1A0000}"/>
    <cellStyle name="Currency 98" xfId="6872" xr:uid="{00000000-0005-0000-0000-00004E1A0000}"/>
    <cellStyle name="Currency 99" xfId="6873" xr:uid="{00000000-0005-0000-0000-00004F1A0000}"/>
    <cellStyle name="Currency input" xfId="6874" xr:uid="{00000000-0005-0000-0000-0000501A0000}"/>
    <cellStyle name="Currency with Sum Lines" xfId="6875" xr:uid="{00000000-0005-0000-0000-0000511A0000}"/>
    <cellStyle name="Currency*" xfId="6876" xr:uid="{00000000-0005-0000-0000-0000521A0000}"/>
    <cellStyle name="Currency0" xfId="6877" xr:uid="{00000000-0005-0000-0000-0000531A0000}"/>
    <cellStyle name="Currency0 2" xfId="6878" xr:uid="{00000000-0005-0000-0000-0000541A0000}"/>
    <cellStyle name="Currency0 2 2" xfId="6879" xr:uid="{00000000-0005-0000-0000-0000551A0000}"/>
    <cellStyle name="Currency1" xfId="6880" xr:uid="{00000000-0005-0000-0000-0000561A0000}"/>
    <cellStyle name="Currency1Blue" xfId="6881" xr:uid="{00000000-0005-0000-0000-0000571A0000}"/>
    <cellStyle name="Currency2" xfId="6882" xr:uid="{00000000-0005-0000-0000-0000581A0000}"/>
    <cellStyle name="Currsmall" xfId="6883" xr:uid="{00000000-0005-0000-0000-0000591A0000}"/>
    <cellStyle name="Custom - Style8" xfId="6884" xr:uid="{00000000-0005-0000-0000-00005A1A0000}"/>
    <cellStyle name="d" xfId="6885" xr:uid="{00000000-0005-0000-0000-00005B1A0000}"/>
    <cellStyle name="d_yield" xfId="6886" xr:uid="{00000000-0005-0000-0000-00005C1A0000}"/>
    <cellStyle name="d_yield_CCRD-muse -2" xfId="6887" xr:uid="{00000000-0005-0000-0000-00005D1A0000}"/>
    <cellStyle name="d_yield_CCRD-muse -2_Purchase Price - Weil v3" xfId="6888" xr:uid="{00000000-0005-0000-0000-00005E1A0000}"/>
    <cellStyle name="d_yield_DCF-Valuation Support" xfId="6889" xr:uid="{00000000-0005-0000-0000-00005F1A0000}"/>
    <cellStyle name="d_yield_DCF-Valuation Support_Purchase Price - Weil v3" xfId="6890" xr:uid="{00000000-0005-0000-0000-0000601A0000}"/>
    <cellStyle name="d_yield_ICOS-INC" xfId="6891" xr:uid="{00000000-0005-0000-0000-0000611A0000}"/>
    <cellStyle name="d_yield_ICOS-INC (2)" xfId="6892" xr:uid="{00000000-0005-0000-0000-0000621A0000}"/>
    <cellStyle name="d_yield_ICOS-INC (2)_~7576084" xfId="6893" xr:uid="{00000000-0005-0000-0000-0000631A0000}"/>
    <cellStyle name="d_yield_ICOS-INC (2)_Purchase Price - Weil v3" xfId="6894" xr:uid="{00000000-0005-0000-0000-0000641A0000}"/>
    <cellStyle name="d_yield_ICOS-INC_~7576084" xfId="6895" xr:uid="{00000000-0005-0000-0000-0000651A0000}"/>
    <cellStyle name="d_yield_ICOS-INC_Purchase Price - Weil v3" xfId="6896" xr:uid="{00000000-0005-0000-0000-0000661A0000}"/>
    <cellStyle name="d_yield_Merger Model16.xls Chart 1" xfId="6897" xr:uid="{00000000-0005-0000-0000-0000671A0000}"/>
    <cellStyle name="d_yield_Merger Model16.xls Chart 1_Purchase Price - Weil v3" xfId="6898" xr:uid="{00000000-0005-0000-0000-0000681A0000}"/>
    <cellStyle name="d_yield_Merger Model34b" xfId="6899" xr:uid="{00000000-0005-0000-0000-0000691A0000}"/>
    <cellStyle name="d_yield_Merger Model34b_Purchase Price - Weil v3" xfId="6900" xr:uid="{00000000-0005-0000-0000-00006A1A0000}"/>
    <cellStyle name="d_yield_MKS 7.29 Valuation" xfId="6901" xr:uid="{00000000-0005-0000-0000-00006B1A0000}"/>
    <cellStyle name="d_yield_MKS 7.29 Valuation_~7576084" xfId="6902" xr:uid="{00000000-0005-0000-0000-00006C1A0000}"/>
    <cellStyle name="d_yield_MKS 7.29 Valuation_Purchase Price - Weil v3" xfId="6903" xr:uid="{00000000-0005-0000-0000-00006D1A0000}"/>
    <cellStyle name="d_yield_Purchase Price - Weil v3" xfId="6904" xr:uid="{00000000-0005-0000-0000-00006E1A0000}"/>
    <cellStyle name="dash" xfId="6905" xr:uid="{00000000-0005-0000-0000-00006F1A0000}"/>
    <cellStyle name="dash$" xfId="6906" xr:uid="{00000000-0005-0000-0000-0000701A0000}"/>
    <cellStyle name="Dash_Book1" xfId="6907" xr:uid="{00000000-0005-0000-0000-0000711A0000}"/>
    <cellStyle name="data" xfId="6908" xr:uid="{00000000-0005-0000-0000-0000721A0000}"/>
    <cellStyle name="Data   - Style2" xfId="6909" xr:uid="{00000000-0005-0000-0000-0000731A0000}"/>
    <cellStyle name="Data input" xfId="6910" xr:uid="{00000000-0005-0000-0000-0000741A0000}"/>
    <cellStyle name="Date" xfId="6911" xr:uid="{00000000-0005-0000-0000-0000751A0000}"/>
    <cellStyle name="Date (m/d/y)" xfId="6912" xr:uid="{00000000-0005-0000-0000-0000761A0000}"/>
    <cellStyle name="Date (mmm-yy)" xfId="6913" xr:uid="{00000000-0005-0000-0000-0000771A0000}"/>
    <cellStyle name="Date [Abbreviated]" xfId="6914" xr:uid="{00000000-0005-0000-0000-0000781A0000}"/>
    <cellStyle name="Date [d-mmm-yy]" xfId="6915" xr:uid="{00000000-0005-0000-0000-0000791A0000}"/>
    <cellStyle name="Date [Long Europe]" xfId="6916" xr:uid="{00000000-0005-0000-0000-00007A1A0000}"/>
    <cellStyle name="Date [Long U.S.]" xfId="6917" xr:uid="{00000000-0005-0000-0000-00007B1A0000}"/>
    <cellStyle name="Date [mm-d-yy]" xfId="6918" xr:uid="{00000000-0005-0000-0000-00007C1A0000}"/>
    <cellStyle name="Date [mm-d-yyyy]" xfId="6919" xr:uid="{00000000-0005-0000-0000-00007D1A0000}"/>
    <cellStyle name="Date [mmm-yy]" xfId="6920" xr:uid="{00000000-0005-0000-0000-00007E1A0000}"/>
    <cellStyle name="Date [Short Europe]" xfId="6921" xr:uid="{00000000-0005-0000-0000-00007F1A0000}"/>
    <cellStyle name="Date [Short U.S.]" xfId="6922" xr:uid="{00000000-0005-0000-0000-0000801A0000}"/>
    <cellStyle name="Date 10" xfId="6923" xr:uid="{00000000-0005-0000-0000-0000811A0000}"/>
    <cellStyle name="Date 11" xfId="6924" xr:uid="{00000000-0005-0000-0000-0000821A0000}"/>
    <cellStyle name="Date 12" xfId="6925" xr:uid="{00000000-0005-0000-0000-0000831A0000}"/>
    <cellStyle name="Date 13" xfId="6926" xr:uid="{00000000-0005-0000-0000-0000841A0000}"/>
    <cellStyle name="Date 14" xfId="6927" xr:uid="{00000000-0005-0000-0000-0000851A0000}"/>
    <cellStyle name="Date 15" xfId="6928" xr:uid="{00000000-0005-0000-0000-0000861A0000}"/>
    <cellStyle name="Date 16" xfId="6929" xr:uid="{00000000-0005-0000-0000-0000871A0000}"/>
    <cellStyle name="Date 17" xfId="6930" xr:uid="{00000000-0005-0000-0000-0000881A0000}"/>
    <cellStyle name="Date 18" xfId="6931" xr:uid="{00000000-0005-0000-0000-0000891A0000}"/>
    <cellStyle name="Date 19" xfId="6932" xr:uid="{00000000-0005-0000-0000-00008A1A0000}"/>
    <cellStyle name="Date 2" xfId="6933" xr:uid="{00000000-0005-0000-0000-00008B1A0000}"/>
    <cellStyle name="Date 20" xfId="6934" xr:uid="{00000000-0005-0000-0000-00008C1A0000}"/>
    <cellStyle name="Date 21" xfId="6935" xr:uid="{00000000-0005-0000-0000-00008D1A0000}"/>
    <cellStyle name="Date 22" xfId="6936" xr:uid="{00000000-0005-0000-0000-00008E1A0000}"/>
    <cellStyle name="Date 23" xfId="6937" xr:uid="{00000000-0005-0000-0000-00008F1A0000}"/>
    <cellStyle name="Date 24" xfId="6938" xr:uid="{00000000-0005-0000-0000-0000901A0000}"/>
    <cellStyle name="Date 25" xfId="6939" xr:uid="{00000000-0005-0000-0000-0000911A0000}"/>
    <cellStyle name="Date 26" xfId="6940" xr:uid="{00000000-0005-0000-0000-0000921A0000}"/>
    <cellStyle name="Date 27" xfId="6941" xr:uid="{00000000-0005-0000-0000-0000931A0000}"/>
    <cellStyle name="Date 28" xfId="6942" xr:uid="{00000000-0005-0000-0000-0000941A0000}"/>
    <cellStyle name="Date 29" xfId="6943" xr:uid="{00000000-0005-0000-0000-0000951A0000}"/>
    <cellStyle name="Date 3" xfId="6944" xr:uid="{00000000-0005-0000-0000-0000961A0000}"/>
    <cellStyle name="Date 30" xfId="6945" xr:uid="{00000000-0005-0000-0000-0000971A0000}"/>
    <cellStyle name="Date 31" xfId="6946" xr:uid="{00000000-0005-0000-0000-0000981A0000}"/>
    <cellStyle name="Date 32" xfId="6947" xr:uid="{00000000-0005-0000-0000-0000991A0000}"/>
    <cellStyle name="Date 33" xfId="6948" xr:uid="{00000000-0005-0000-0000-00009A1A0000}"/>
    <cellStyle name="Date 34" xfId="6949" xr:uid="{00000000-0005-0000-0000-00009B1A0000}"/>
    <cellStyle name="Date 35" xfId="6950" xr:uid="{00000000-0005-0000-0000-00009C1A0000}"/>
    <cellStyle name="Date 36" xfId="6951" xr:uid="{00000000-0005-0000-0000-00009D1A0000}"/>
    <cellStyle name="Date 37" xfId="6952" xr:uid="{00000000-0005-0000-0000-00009E1A0000}"/>
    <cellStyle name="Date 38" xfId="6953" xr:uid="{00000000-0005-0000-0000-00009F1A0000}"/>
    <cellStyle name="Date 39" xfId="6954" xr:uid="{00000000-0005-0000-0000-0000A01A0000}"/>
    <cellStyle name="Date 4" xfId="6955" xr:uid="{00000000-0005-0000-0000-0000A11A0000}"/>
    <cellStyle name="Date 40" xfId="6956" xr:uid="{00000000-0005-0000-0000-0000A21A0000}"/>
    <cellStyle name="Date 41" xfId="6957" xr:uid="{00000000-0005-0000-0000-0000A31A0000}"/>
    <cellStyle name="Date 42" xfId="6958" xr:uid="{00000000-0005-0000-0000-0000A41A0000}"/>
    <cellStyle name="Date 43" xfId="6959" xr:uid="{00000000-0005-0000-0000-0000A51A0000}"/>
    <cellStyle name="Date 44" xfId="6960" xr:uid="{00000000-0005-0000-0000-0000A61A0000}"/>
    <cellStyle name="Date 45" xfId="6961" xr:uid="{00000000-0005-0000-0000-0000A71A0000}"/>
    <cellStyle name="Date 46" xfId="6962" xr:uid="{00000000-0005-0000-0000-0000A81A0000}"/>
    <cellStyle name="Date 47" xfId="6963" xr:uid="{00000000-0005-0000-0000-0000A91A0000}"/>
    <cellStyle name="Date 48" xfId="6964" xr:uid="{00000000-0005-0000-0000-0000AA1A0000}"/>
    <cellStyle name="Date 49" xfId="6965" xr:uid="{00000000-0005-0000-0000-0000AB1A0000}"/>
    <cellStyle name="Date 5" xfId="6966" xr:uid="{00000000-0005-0000-0000-0000AC1A0000}"/>
    <cellStyle name="Date 50" xfId="6967" xr:uid="{00000000-0005-0000-0000-0000AD1A0000}"/>
    <cellStyle name="Date 51" xfId="6968" xr:uid="{00000000-0005-0000-0000-0000AE1A0000}"/>
    <cellStyle name="Date 52" xfId="6969" xr:uid="{00000000-0005-0000-0000-0000AF1A0000}"/>
    <cellStyle name="Date 53" xfId="6970" xr:uid="{00000000-0005-0000-0000-0000B01A0000}"/>
    <cellStyle name="Date 54" xfId="6971" xr:uid="{00000000-0005-0000-0000-0000B11A0000}"/>
    <cellStyle name="Date 55" xfId="6972" xr:uid="{00000000-0005-0000-0000-0000B21A0000}"/>
    <cellStyle name="Date 56" xfId="6973" xr:uid="{00000000-0005-0000-0000-0000B31A0000}"/>
    <cellStyle name="Date 57" xfId="6974" xr:uid="{00000000-0005-0000-0000-0000B41A0000}"/>
    <cellStyle name="Date 58" xfId="6975" xr:uid="{00000000-0005-0000-0000-0000B51A0000}"/>
    <cellStyle name="Date 59" xfId="6976" xr:uid="{00000000-0005-0000-0000-0000B61A0000}"/>
    <cellStyle name="Date 6" xfId="6977" xr:uid="{00000000-0005-0000-0000-0000B71A0000}"/>
    <cellStyle name="Date 60" xfId="6978" xr:uid="{00000000-0005-0000-0000-0000B81A0000}"/>
    <cellStyle name="Date 61" xfId="6979" xr:uid="{00000000-0005-0000-0000-0000B91A0000}"/>
    <cellStyle name="Date 7" xfId="6980" xr:uid="{00000000-0005-0000-0000-0000BA1A0000}"/>
    <cellStyle name="Date 8" xfId="6981" xr:uid="{00000000-0005-0000-0000-0000BB1A0000}"/>
    <cellStyle name="Date 9" xfId="6982" xr:uid="{00000000-0005-0000-0000-0000BC1A0000}"/>
    <cellStyle name="Date Aligned" xfId="6983" xr:uid="{00000000-0005-0000-0000-0000BD1A0000}"/>
    <cellStyle name="Date m/d/yy" xfId="6984" xr:uid="{00000000-0005-0000-0000-0000BE1A0000}"/>
    <cellStyle name="Date Short" xfId="122" xr:uid="{00000000-0005-0000-0000-0000BF1A0000}"/>
    <cellStyle name="Date_~0040091" xfId="6985" xr:uid="{00000000-0005-0000-0000-0000C01A0000}"/>
    <cellStyle name="Date1" xfId="6986" xr:uid="{00000000-0005-0000-0000-0000C11A0000}"/>
    <cellStyle name="DblLineDollarAcct" xfId="123" xr:uid="{00000000-0005-0000-0000-0000C21A0000}"/>
    <cellStyle name="DblLinePercent" xfId="124" xr:uid="{00000000-0005-0000-0000-0000C31A0000}"/>
    <cellStyle name="DELTA" xfId="125" xr:uid="{00000000-0005-0000-0000-0000C41A0000}"/>
    <cellStyle name="depth" xfId="6987" xr:uid="{00000000-0005-0000-0000-0000C51A0000}"/>
    <cellStyle name="Dezimal [0]_Compiling Utility Macros" xfId="6988" xr:uid="{00000000-0005-0000-0000-0000C61A0000}"/>
    <cellStyle name="Dezimal_Compiling Utility Macros" xfId="6989" xr:uid="{00000000-0005-0000-0000-0000C71A0000}"/>
    <cellStyle name="Dia" xfId="6990" xr:uid="{00000000-0005-0000-0000-0000C81A0000}"/>
    <cellStyle name="Diseño" xfId="6991" xr:uid="{00000000-0005-0000-0000-0000C91A0000}"/>
    <cellStyle name="d-m" xfId="6992" xr:uid="{00000000-0005-0000-0000-0000CA1A0000}"/>
    <cellStyle name="DMY" xfId="6993" xr:uid="{00000000-0005-0000-0000-0000CB1A0000}"/>
    <cellStyle name="D-M-Y" xfId="6994" xr:uid="{00000000-0005-0000-0000-0000CC1A0000}"/>
    <cellStyle name="DMY_~7576084" xfId="6995" xr:uid="{00000000-0005-0000-0000-0000CD1A0000}"/>
    <cellStyle name="dollar" xfId="6996" xr:uid="{00000000-0005-0000-0000-0000CE1A0000}"/>
    <cellStyle name="Dollar (zero dec)" xfId="6997" xr:uid="{00000000-0005-0000-0000-0000CF1A0000}"/>
    <cellStyle name="dollar_~7576084" xfId="6998" xr:uid="{00000000-0005-0000-0000-0000D01A0000}"/>
    <cellStyle name="Dollar1" xfId="6999" xr:uid="{00000000-0005-0000-0000-0000D11A0000}"/>
    <cellStyle name="Dollar1Blue" xfId="7000" xr:uid="{00000000-0005-0000-0000-0000D21A0000}"/>
    <cellStyle name="Dollar2" xfId="7001" xr:uid="{00000000-0005-0000-0000-0000D31A0000}"/>
    <cellStyle name="DollarAccounting" xfId="126" xr:uid="{00000000-0005-0000-0000-0000D41A0000}"/>
    <cellStyle name="Dollars" xfId="7002" xr:uid="{00000000-0005-0000-0000-0000D51A0000}"/>
    <cellStyle name="Dollars []" xfId="7003" xr:uid="{00000000-0005-0000-0000-0000D61A0000}"/>
    <cellStyle name="Dollars Per Share" xfId="7004" xr:uid="{00000000-0005-0000-0000-0000D71A0000}"/>
    <cellStyle name="Dotted Line" xfId="7005" xr:uid="{00000000-0005-0000-0000-0000D81A0000}"/>
    <cellStyle name="Double Accounting" xfId="7006" xr:uid="{00000000-0005-0000-0000-0000D91A0000}"/>
    <cellStyle name="Encabez1" xfId="7007" xr:uid="{00000000-0005-0000-0000-0000DA1A0000}"/>
    <cellStyle name="Encabez2" xfId="7008" xr:uid="{00000000-0005-0000-0000-0000DB1A0000}"/>
    <cellStyle name="Enter Currency (0)" xfId="127" xr:uid="{00000000-0005-0000-0000-0000DC1A0000}"/>
    <cellStyle name="Enter Currency (2)" xfId="128" xr:uid="{00000000-0005-0000-0000-0000DD1A0000}"/>
    <cellStyle name="Enter Units (0)" xfId="129" xr:uid="{00000000-0005-0000-0000-0000DE1A0000}"/>
    <cellStyle name="Enter Units (1)" xfId="130" xr:uid="{00000000-0005-0000-0000-0000DF1A0000}"/>
    <cellStyle name="Enter Units (2)" xfId="131" xr:uid="{00000000-0005-0000-0000-0000E01A0000}"/>
    <cellStyle name="Entered" xfId="7009" xr:uid="{00000000-0005-0000-0000-0000E11A0000}"/>
    <cellStyle name="ENTERO NEGATIVO" xfId="7010" xr:uid="{00000000-0005-0000-0000-0000E21A0000}"/>
    <cellStyle name="eps" xfId="7011" xr:uid="{00000000-0005-0000-0000-0000E31A0000}"/>
    <cellStyle name="eps$" xfId="7012" xr:uid="{00000000-0005-0000-0000-0000E41A0000}"/>
    <cellStyle name="eps$A" xfId="7013" xr:uid="{00000000-0005-0000-0000-0000E51A0000}"/>
    <cellStyle name="eps$E" xfId="7014" xr:uid="{00000000-0005-0000-0000-0000E61A0000}"/>
    <cellStyle name="eps_DCF-Valuation Support" xfId="7015" xr:uid="{00000000-0005-0000-0000-0000E71A0000}"/>
    <cellStyle name="epsA" xfId="7016" xr:uid="{00000000-0005-0000-0000-0000E81A0000}"/>
    <cellStyle name="epsE" xfId="7017" xr:uid="{00000000-0005-0000-0000-0000E91A0000}"/>
    <cellStyle name="Euro" xfId="132" xr:uid="{00000000-0005-0000-0000-0000EA1A0000}"/>
    <cellStyle name="Euro 2" xfId="133" xr:uid="{00000000-0005-0000-0000-0000EB1A0000}"/>
    <cellStyle name="Euro 2 2" xfId="7018" xr:uid="{00000000-0005-0000-0000-0000EC1A0000}"/>
    <cellStyle name="Euro 2 2 2" xfId="7019" xr:uid="{00000000-0005-0000-0000-0000ED1A0000}"/>
    <cellStyle name="Euro 2 2 2 2" xfId="7020" xr:uid="{00000000-0005-0000-0000-0000EE1A0000}"/>
    <cellStyle name="Euro 2 2 3" xfId="7021" xr:uid="{00000000-0005-0000-0000-0000EF1A0000}"/>
    <cellStyle name="Euro 2 3" xfId="7022" xr:uid="{00000000-0005-0000-0000-0000F01A0000}"/>
    <cellStyle name="Euro 2 3 2" xfId="7023" xr:uid="{00000000-0005-0000-0000-0000F11A0000}"/>
    <cellStyle name="Euro 2 4" xfId="7024" xr:uid="{00000000-0005-0000-0000-0000F21A0000}"/>
    <cellStyle name="Euro 3" xfId="7025" xr:uid="{00000000-0005-0000-0000-0000F31A0000}"/>
    <cellStyle name="Euro 3 2" xfId="7026" xr:uid="{00000000-0005-0000-0000-0000F41A0000}"/>
    <cellStyle name="Euro 3 2 2" xfId="7027" xr:uid="{00000000-0005-0000-0000-0000F51A0000}"/>
    <cellStyle name="Euro 3 2 2 2" xfId="7028" xr:uid="{00000000-0005-0000-0000-0000F61A0000}"/>
    <cellStyle name="Euro 3 2 3" xfId="7029" xr:uid="{00000000-0005-0000-0000-0000F71A0000}"/>
    <cellStyle name="Euro 3 3" xfId="7030" xr:uid="{00000000-0005-0000-0000-0000F81A0000}"/>
    <cellStyle name="Euro 3 3 2" xfId="7031" xr:uid="{00000000-0005-0000-0000-0000F91A0000}"/>
    <cellStyle name="Euro 3 4" xfId="7032" xr:uid="{00000000-0005-0000-0000-0000FA1A0000}"/>
    <cellStyle name="Euro 3 4 2" xfId="7033" xr:uid="{00000000-0005-0000-0000-0000FB1A0000}"/>
    <cellStyle name="Euro 3 5" xfId="7034" xr:uid="{00000000-0005-0000-0000-0000FC1A0000}"/>
    <cellStyle name="Euro 4" xfId="7035" xr:uid="{00000000-0005-0000-0000-0000FD1A0000}"/>
    <cellStyle name="Euro 4 2" xfId="7036" xr:uid="{00000000-0005-0000-0000-0000FE1A0000}"/>
    <cellStyle name="Euro 4 2 2" xfId="7037" xr:uid="{00000000-0005-0000-0000-0000FF1A0000}"/>
    <cellStyle name="Euro 4 2 2 2" xfId="7038" xr:uid="{00000000-0005-0000-0000-0000001B0000}"/>
    <cellStyle name="Euro 4 2 3" xfId="7039" xr:uid="{00000000-0005-0000-0000-0000011B0000}"/>
    <cellStyle name="Euro 4 3" xfId="7040" xr:uid="{00000000-0005-0000-0000-0000021B0000}"/>
    <cellStyle name="Euro 4 3 2" xfId="7041" xr:uid="{00000000-0005-0000-0000-0000031B0000}"/>
    <cellStyle name="Euro 4 3 2 2" xfId="7042" xr:uid="{00000000-0005-0000-0000-0000041B0000}"/>
    <cellStyle name="Euro 4 3 3" xfId="7043" xr:uid="{00000000-0005-0000-0000-0000051B0000}"/>
    <cellStyle name="Euro 4 4" xfId="7044" xr:uid="{00000000-0005-0000-0000-0000061B0000}"/>
    <cellStyle name="Euro 5" xfId="7045" xr:uid="{00000000-0005-0000-0000-0000071B0000}"/>
    <cellStyle name="Euro 5 2" xfId="7046" xr:uid="{00000000-0005-0000-0000-0000081B0000}"/>
    <cellStyle name="Euro 5 2 2" xfId="7047" xr:uid="{00000000-0005-0000-0000-0000091B0000}"/>
    <cellStyle name="Euro 5 2 2 2" xfId="7048" xr:uid="{00000000-0005-0000-0000-00000A1B0000}"/>
    <cellStyle name="Euro 5 2 3" xfId="7049" xr:uid="{00000000-0005-0000-0000-00000B1B0000}"/>
    <cellStyle name="Euro 5 3" xfId="7050" xr:uid="{00000000-0005-0000-0000-00000C1B0000}"/>
    <cellStyle name="Euro 5 3 2" xfId="7051" xr:uid="{00000000-0005-0000-0000-00000D1B0000}"/>
    <cellStyle name="Euro 5 3 2 2" xfId="7052" xr:uid="{00000000-0005-0000-0000-00000E1B0000}"/>
    <cellStyle name="Euro 5 3 3" xfId="7053" xr:uid="{00000000-0005-0000-0000-00000F1B0000}"/>
    <cellStyle name="Euro 5 4" xfId="7054" xr:uid="{00000000-0005-0000-0000-0000101B0000}"/>
    <cellStyle name="Euro 6" xfId="7055" xr:uid="{00000000-0005-0000-0000-0000111B0000}"/>
    <cellStyle name="Euro 6 2" xfId="7056" xr:uid="{00000000-0005-0000-0000-0000121B0000}"/>
    <cellStyle name="Euro 6 2 2" xfId="7057" xr:uid="{00000000-0005-0000-0000-0000131B0000}"/>
    <cellStyle name="Euro 6 2 2 2" xfId="7058" xr:uid="{00000000-0005-0000-0000-0000141B0000}"/>
    <cellStyle name="Euro 6 2 3" xfId="7059" xr:uid="{00000000-0005-0000-0000-0000151B0000}"/>
    <cellStyle name="Euro 6 3" xfId="7060" xr:uid="{00000000-0005-0000-0000-0000161B0000}"/>
    <cellStyle name="Euro 6 3 2" xfId="7061" xr:uid="{00000000-0005-0000-0000-0000171B0000}"/>
    <cellStyle name="Euro 6 4" xfId="7062" xr:uid="{00000000-0005-0000-0000-0000181B0000}"/>
    <cellStyle name="Euro 6 4 2" xfId="7063" xr:uid="{00000000-0005-0000-0000-0000191B0000}"/>
    <cellStyle name="Euro 6 5" xfId="7064" xr:uid="{00000000-0005-0000-0000-00001A1B0000}"/>
    <cellStyle name="Euro 7" xfId="7065" xr:uid="{00000000-0005-0000-0000-00001B1B0000}"/>
    <cellStyle name="Euro 7 2" xfId="7066" xr:uid="{00000000-0005-0000-0000-00001C1B0000}"/>
    <cellStyle name="Euro 8" xfId="7067" xr:uid="{00000000-0005-0000-0000-00001D1B0000}"/>
    <cellStyle name="Euro 8 2" xfId="7068" xr:uid="{00000000-0005-0000-0000-00001E1B0000}"/>
    <cellStyle name="Euro 9" xfId="7069" xr:uid="{00000000-0005-0000-0000-00001F1B0000}"/>
    <cellStyle name="ExchangeRatio" xfId="7070" xr:uid="{00000000-0005-0000-0000-0000201B0000}"/>
    <cellStyle name="Explanatory Text 2" xfId="134" xr:uid="{00000000-0005-0000-0000-0000211B0000}"/>
    <cellStyle name="Explanatory Text 2 2" xfId="7071" xr:uid="{00000000-0005-0000-0000-0000221B0000}"/>
    <cellStyle name="Explanatory Text 3" xfId="7072" xr:uid="{00000000-0005-0000-0000-0000231B0000}"/>
    <cellStyle name="ExtRef_Date" xfId="7073" xr:uid="{00000000-0005-0000-0000-0000241B0000}"/>
    <cellStyle name="EY Narrative text" xfId="135" xr:uid="{00000000-0005-0000-0000-0000251B0000}"/>
    <cellStyle name="EY%colcalc" xfId="136" xr:uid="{00000000-0005-0000-0000-0000261B0000}"/>
    <cellStyle name="EY%input" xfId="137" xr:uid="{00000000-0005-0000-0000-0000271B0000}"/>
    <cellStyle name="EY%rowcalc" xfId="138" xr:uid="{00000000-0005-0000-0000-0000281B0000}"/>
    <cellStyle name="EY0dp" xfId="139" xr:uid="{00000000-0005-0000-0000-0000291B0000}"/>
    <cellStyle name="EY1dp" xfId="140" xr:uid="{00000000-0005-0000-0000-00002A1B0000}"/>
    <cellStyle name="EY2dp" xfId="141" xr:uid="{00000000-0005-0000-0000-00002B1B0000}"/>
    <cellStyle name="EY3dp" xfId="142" xr:uid="{00000000-0005-0000-0000-00002C1B0000}"/>
    <cellStyle name="EYChartTitle" xfId="143" xr:uid="{00000000-0005-0000-0000-00002D1B0000}"/>
    <cellStyle name="EYColumnHeading" xfId="144" xr:uid="{00000000-0005-0000-0000-00002E1B0000}"/>
    <cellStyle name="EYColumnHeading 2" xfId="7074" xr:uid="{00000000-0005-0000-0000-00002F1B0000}"/>
    <cellStyle name="EYColumnHeadingItalic" xfId="145" xr:uid="{00000000-0005-0000-0000-0000301B0000}"/>
    <cellStyle name="EYColumnHeadingItalic 2" xfId="7075" xr:uid="{00000000-0005-0000-0000-0000311B0000}"/>
    <cellStyle name="EYCoverDatabookName" xfId="146" xr:uid="{00000000-0005-0000-0000-0000321B0000}"/>
    <cellStyle name="EYCoverDate" xfId="147" xr:uid="{00000000-0005-0000-0000-0000331B0000}"/>
    <cellStyle name="EYCoverDraft" xfId="148" xr:uid="{00000000-0005-0000-0000-0000341B0000}"/>
    <cellStyle name="EYCoverProjectName" xfId="149" xr:uid="{00000000-0005-0000-0000-0000351B0000}"/>
    <cellStyle name="EYCurrency" xfId="150" xr:uid="{00000000-0005-0000-0000-0000361B0000}"/>
    <cellStyle name="EYCurrency 2" xfId="7076" xr:uid="{00000000-0005-0000-0000-0000371B0000}"/>
    <cellStyle name="EYHeading1" xfId="151" xr:uid="{00000000-0005-0000-0000-0000381B0000}"/>
    <cellStyle name="EYheading2" xfId="152" xr:uid="{00000000-0005-0000-0000-0000391B0000}"/>
    <cellStyle name="EYheading3" xfId="153" xr:uid="{00000000-0005-0000-0000-00003A1B0000}"/>
    <cellStyle name="EYNotes" xfId="154" xr:uid="{00000000-0005-0000-0000-00003B1B0000}"/>
    <cellStyle name="EYNotesHeading" xfId="155" xr:uid="{00000000-0005-0000-0000-00003C1B0000}"/>
    <cellStyle name="EYNotesHeading 2" xfId="7077" xr:uid="{00000000-0005-0000-0000-00003D1B0000}"/>
    <cellStyle name="EYnumber" xfId="156" xr:uid="{00000000-0005-0000-0000-00003E1B0000}"/>
    <cellStyle name="EYnumber 2" xfId="7078" xr:uid="{00000000-0005-0000-0000-00003F1B0000}"/>
    <cellStyle name="EYRelianceRestricted" xfId="157" xr:uid="{00000000-0005-0000-0000-0000401B0000}"/>
    <cellStyle name="EYSectionHeading" xfId="158" xr:uid="{00000000-0005-0000-0000-0000411B0000}"/>
    <cellStyle name="EYSheetHeader1" xfId="159" xr:uid="{00000000-0005-0000-0000-0000421B0000}"/>
    <cellStyle name="EYSheetHeading" xfId="160" xr:uid="{00000000-0005-0000-0000-0000431B0000}"/>
    <cellStyle name="EYsmallheading" xfId="161" xr:uid="{00000000-0005-0000-0000-0000441B0000}"/>
    <cellStyle name="EYsmallheading 2" xfId="7079" xr:uid="{00000000-0005-0000-0000-0000451B0000}"/>
    <cellStyle name="EYsmallheading 2 2" xfId="7080" xr:uid="{00000000-0005-0000-0000-0000461B0000}"/>
    <cellStyle name="EYsmallheading 3" xfId="7081" xr:uid="{00000000-0005-0000-0000-0000471B0000}"/>
    <cellStyle name="EYSource" xfId="162" xr:uid="{00000000-0005-0000-0000-0000481B0000}"/>
    <cellStyle name="EYtext" xfId="163" xr:uid="{00000000-0005-0000-0000-0000491B0000}"/>
    <cellStyle name="EYtextbold" xfId="164" xr:uid="{00000000-0005-0000-0000-00004A1B0000}"/>
    <cellStyle name="EYtextbolditalic" xfId="165" xr:uid="{00000000-0005-0000-0000-00004B1B0000}"/>
    <cellStyle name="EYtextitalic" xfId="166" xr:uid="{00000000-0005-0000-0000-00004C1B0000}"/>
    <cellStyle name="F2" xfId="7082" xr:uid="{00000000-0005-0000-0000-00004D1B0000}"/>
    <cellStyle name="F3" xfId="7083" xr:uid="{00000000-0005-0000-0000-00004E1B0000}"/>
    <cellStyle name="F4" xfId="7084" xr:uid="{00000000-0005-0000-0000-00004F1B0000}"/>
    <cellStyle name="F5" xfId="7085" xr:uid="{00000000-0005-0000-0000-0000501B0000}"/>
    <cellStyle name="F6" xfId="7086" xr:uid="{00000000-0005-0000-0000-0000511B0000}"/>
    <cellStyle name="F7" xfId="7087" xr:uid="{00000000-0005-0000-0000-0000521B0000}"/>
    <cellStyle name="F8" xfId="7088" xr:uid="{00000000-0005-0000-0000-0000531B0000}"/>
    <cellStyle name="Fijo" xfId="7089" xr:uid="{00000000-0005-0000-0000-0000541B0000}"/>
    <cellStyle name="financial" xfId="7090" xr:uid="{00000000-0005-0000-0000-0000551B0000}"/>
    <cellStyle name="Financiero" xfId="7091" xr:uid="{00000000-0005-0000-0000-0000561B0000}"/>
    <cellStyle name="Fixed" xfId="7092" xr:uid="{00000000-0005-0000-0000-0000571B0000}"/>
    <cellStyle name="Fixed [0]" xfId="7093" xr:uid="{00000000-0005-0000-0000-0000581B0000}"/>
    <cellStyle name="Fixed 10" xfId="7094" xr:uid="{00000000-0005-0000-0000-0000591B0000}"/>
    <cellStyle name="Fixed 11" xfId="7095" xr:uid="{00000000-0005-0000-0000-00005A1B0000}"/>
    <cellStyle name="Fixed 12" xfId="7096" xr:uid="{00000000-0005-0000-0000-00005B1B0000}"/>
    <cellStyle name="Fixed 13" xfId="7097" xr:uid="{00000000-0005-0000-0000-00005C1B0000}"/>
    <cellStyle name="Fixed 14" xfId="7098" xr:uid="{00000000-0005-0000-0000-00005D1B0000}"/>
    <cellStyle name="Fixed 15" xfId="7099" xr:uid="{00000000-0005-0000-0000-00005E1B0000}"/>
    <cellStyle name="Fixed 16" xfId="7100" xr:uid="{00000000-0005-0000-0000-00005F1B0000}"/>
    <cellStyle name="Fixed 17" xfId="7101" xr:uid="{00000000-0005-0000-0000-0000601B0000}"/>
    <cellStyle name="Fixed 18" xfId="7102" xr:uid="{00000000-0005-0000-0000-0000611B0000}"/>
    <cellStyle name="Fixed 19" xfId="7103" xr:uid="{00000000-0005-0000-0000-0000621B0000}"/>
    <cellStyle name="Fixed 2" xfId="7104" xr:uid="{00000000-0005-0000-0000-0000631B0000}"/>
    <cellStyle name="Fixed 20" xfId="7105" xr:uid="{00000000-0005-0000-0000-0000641B0000}"/>
    <cellStyle name="Fixed 21" xfId="7106" xr:uid="{00000000-0005-0000-0000-0000651B0000}"/>
    <cellStyle name="Fixed 22" xfId="7107" xr:uid="{00000000-0005-0000-0000-0000661B0000}"/>
    <cellStyle name="Fixed 23" xfId="7108" xr:uid="{00000000-0005-0000-0000-0000671B0000}"/>
    <cellStyle name="Fixed 24" xfId="7109" xr:uid="{00000000-0005-0000-0000-0000681B0000}"/>
    <cellStyle name="Fixed 25" xfId="7110" xr:uid="{00000000-0005-0000-0000-0000691B0000}"/>
    <cellStyle name="Fixed 26" xfId="7111" xr:uid="{00000000-0005-0000-0000-00006A1B0000}"/>
    <cellStyle name="Fixed 27" xfId="7112" xr:uid="{00000000-0005-0000-0000-00006B1B0000}"/>
    <cellStyle name="Fixed 28" xfId="7113" xr:uid="{00000000-0005-0000-0000-00006C1B0000}"/>
    <cellStyle name="Fixed 29" xfId="7114" xr:uid="{00000000-0005-0000-0000-00006D1B0000}"/>
    <cellStyle name="Fixed 3" xfId="7115" xr:uid="{00000000-0005-0000-0000-00006E1B0000}"/>
    <cellStyle name="Fixed 30" xfId="7116" xr:uid="{00000000-0005-0000-0000-00006F1B0000}"/>
    <cellStyle name="Fixed 31" xfId="7117" xr:uid="{00000000-0005-0000-0000-0000701B0000}"/>
    <cellStyle name="Fixed 32" xfId="7118" xr:uid="{00000000-0005-0000-0000-0000711B0000}"/>
    <cellStyle name="Fixed 33" xfId="7119" xr:uid="{00000000-0005-0000-0000-0000721B0000}"/>
    <cellStyle name="Fixed 34" xfId="7120" xr:uid="{00000000-0005-0000-0000-0000731B0000}"/>
    <cellStyle name="Fixed 35" xfId="7121" xr:uid="{00000000-0005-0000-0000-0000741B0000}"/>
    <cellStyle name="Fixed 36" xfId="7122" xr:uid="{00000000-0005-0000-0000-0000751B0000}"/>
    <cellStyle name="Fixed 37" xfId="7123" xr:uid="{00000000-0005-0000-0000-0000761B0000}"/>
    <cellStyle name="Fixed 38" xfId="7124" xr:uid="{00000000-0005-0000-0000-0000771B0000}"/>
    <cellStyle name="Fixed 39" xfId="7125" xr:uid="{00000000-0005-0000-0000-0000781B0000}"/>
    <cellStyle name="Fixed 4" xfId="7126" xr:uid="{00000000-0005-0000-0000-0000791B0000}"/>
    <cellStyle name="Fixed 40" xfId="7127" xr:uid="{00000000-0005-0000-0000-00007A1B0000}"/>
    <cellStyle name="Fixed 41" xfId="7128" xr:uid="{00000000-0005-0000-0000-00007B1B0000}"/>
    <cellStyle name="Fixed 42" xfId="7129" xr:uid="{00000000-0005-0000-0000-00007C1B0000}"/>
    <cellStyle name="Fixed 43" xfId="7130" xr:uid="{00000000-0005-0000-0000-00007D1B0000}"/>
    <cellStyle name="Fixed 44" xfId="7131" xr:uid="{00000000-0005-0000-0000-00007E1B0000}"/>
    <cellStyle name="Fixed 45" xfId="7132" xr:uid="{00000000-0005-0000-0000-00007F1B0000}"/>
    <cellStyle name="Fixed 46" xfId="7133" xr:uid="{00000000-0005-0000-0000-0000801B0000}"/>
    <cellStyle name="Fixed 47" xfId="7134" xr:uid="{00000000-0005-0000-0000-0000811B0000}"/>
    <cellStyle name="Fixed 48" xfId="7135" xr:uid="{00000000-0005-0000-0000-0000821B0000}"/>
    <cellStyle name="Fixed 49" xfId="7136" xr:uid="{00000000-0005-0000-0000-0000831B0000}"/>
    <cellStyle name="Fixed 5" xfId="7137" xr:uid="{00000000-0005-0000-0000-0000841B0000}"/>
    <cellStyle name="Fixed 50" xfId="7138" xr:uid="{00000000-0005-0000-0000-0000851B0000}"/>
    <cellStyle name="Fixed 51" xfId="7139" xr:uid="{00000000-0005-0000-0000-0000861B0000}"/>
    <cellStyle name="Fixed 52" xfId="7140" xr:uid="{00000000-0005-0000-0000-0000871B0000}"/>
    <cellStyle name="Fixed 53" xfId="7141" xr:uid="{00000000-0005-0000-0000-0000881B0000}"/>
    <cellStyle name="Fixed 54" xfId="7142" xr:uid="{00000000-0005-0000-0000-0000891B0000}"/>
    <cellStyle name="Fixed 55" xfId="7143" xr:uid="{00000000-0005-0000-0000-00008A1B0000}"/>
    <cellStyle name="Fixed 56" xfId="7144" xr:uid="{00000000-0005-0000-0000-00008B1B0000}"/>
    <cellStyle name="Fixed 57" xfId="7145" xr:uid="{00000000-0005-0000-0000-00008C1B0000}"/>
    <cellStyle name="Fixed 58" xfId="7146" xr:uid="{00000000-0005-0000-0000-00008D1B0000}"/>
    <cellStyle name="Fixed 59" xfId="7147" xr:uid="{00000000-0005-0000-0000-00008E1B0000}"/>
    <cellStyle name="Fixed 6" xfId="7148" xr:uid="{00000000-0005-0000-0000-00008F1B0000}"/>
    <cellStyle name="Fixed 60" xfId="7149" xr:uid="{00000000-0005-0000-0000-0000901B0000}"/>
    <cellStyle name="Fixed 61" xfId="7150" xr:uid="{00000000-0005-0000-0000-0000911B0000}"/>
    <cellStyle name="Fixed 7" xfId="7151" xr:uid="{00000000-0005-0000-0000-0000921B0000}"/>
    <cellStyle name="Fixed 8" xfId="7152" xr:uid="{00000000-0005-0000-0000-0000931B0000}"/>
    <cellStyle name="Fixed 9" xfId="7153" xr:uid="{00000000-0005-0000-0000-0000941B0000}"/>
    <cellStyle name="Fixed_Analysis at Various Share Prices" xfId="7154" xr:uid="{00000000-0005-0000-0000-0000951B0000}"/>
    <cellStyle name="Fixlong" xfId="7155" xr:uid="{00000000-0005-0000-0000-0000961B0000}"/>
    <cellStyle name="FOOTER - Style1" xfId="7156" xr:uid="{00000000-0005-0000-0000-0000971B0000}"/>
    <cellStyle name="Footnote" xfId="7157" xr:uid="{00000000-0005-0000-0000-0000981B0000}"/>
    <cellStyle name="footnote2" xfId="7158" xr:uid="{00000000-0005-0000-0000-0000991B0000}"/>
    <cellStyle name="Footnotes" xfId="7159" xr:uid="{00000000-0005-0000-0000-00009A1B0000}"/>
    <cellStyle name="Formula - size 10" xfId="7160" xr:uid="{00000000-0005-0000-0000-00009B1B0000}"/>
    <cellStyle name="Formula - size 11" xfId="7161" xr:uid="{00000000-0005-0000-0000-00009C1B0000}"/>
    <cellStyle name="FRxAmtStyle" xfId="280" xr:uid="{00000000-0005-0000-0000-00009D1B0000}"/>
    <cellStyle name="FRxAmtStyle 2" xfId="7162" xr:uid="{00000000-0005-0000-0000-00009E1B0000}"/>
    <cellStyle name="FRxAmtStyle 3" xfId="7163" xr:uid="{00000000-0005-0000-0000-00009F1B0000}"/>
    <cellStyle name="FRxAmtStyle_BST" xfId="7164" xr:uid="{00000000-0005-0000-0000-0000A01B0000}"/>
    <cellStyle name="FRxCurrStyle" xfId="7165" xr:uid="{00000000-0005-0000-0000-0000A11B0000}"/>
    <cellStyle name="FRxPcntStyle" xfId="7166" xr:uid="{00000000-0005-0000-0000-0000A21B0000}"/>
    <cellStyle name="FTCS" xfId="7167" xr:uid="{00000000-0005-0000-0000-0000A31B0000}"/>
    <cellStyle name="fy_eps$" xfId="7168" xr:uid="{00000000-0005-0000-0000-0000A41B0000}"/>
    <cellStyle name="g_rate" xfId="7169" xr:uid="{00000000-0005-0000-0000-0000A51B0000}"/>
    <cellStyle name="g_rate_~7576084" xfId="7170" xr:uid="{00000000-0005-0000-0000-0000A61B0000}"/>
    <cellStyle name="g_rate_DCF-Valuation Support" xfId="7171" xr:uid="{00000000-0005-0000-0000-0000A71B0000}"/>
    <cellStyle name="g_rate_DCF-Valuation Support_~7576084" xfId="7172" xr:uid="{00000000-0005-0000-0000-0000A81B0000}"/>
    <cellStyle name="g_rate_DCF-Valuation Support_Purchase Price - Weil v3" xfId="7173" xr:uid="{00000000-0005-0000-0000-0000A91B0000}"/>
    <cellStyle name="g_rate_ICOS-INC" xfId="7174" xr:uid="{00000000-0005-0000-0000-0000AA1B0000}"/>
    <cellStyle name="g_rate_ICOS-INC (2)" xfId="7175" xr:uid="{00000000-0005-0000-0000-0000AB1B0000}"/>
    <cellStyle name="g_rate_ICOS-INC (2)_~7576084" xfId="7176" xr:uid="{00000000-0005-0000-0000-0000AC1B0000}"/>
    <cellStyle name="g_rate_ICOS-INC (2)_Purchase Price - Weil v3" xfId="7177" xr:uid="{00000000-0005-0000-0000-0000AD1B0000}"/>
    <cellStyle name="g_rate_ICOS-INC_~7576084" xfId="7178" xr:uid="{00000000-0005-0000-0000-0000AE1B0000}"/>
    <cellStyle name="g_rate_ICOS-INC_Purchase Price - Weil v3" xfId="7179" xr:uid="{00000000-0005-0000-0000-0000AF1B0000}"/>
    <cellStyle name="g_rate_Merger Model16.xls Chart 1" xfId="7180" xr:uid="{00000000-0005-0000-0000-0000B01B0000}"/>
    <cellStyle name="g_rate_Merger Model16.xls Chart 1_~7576084" xfId="7181" xr:uid="{00000000-0005-0000-0000-0000B11B0000}"/>
    <cellStyle name="g_rate_Merger Model16.xls Chart 1_Purchase Price - Weil v3" xfId="7182" xr:uid="{00000000-0005-0000-0000-0000B21B0000}"/>
    <cellStyle name="g_rate_Merger Model34b" xfId="7183" xr:uid="{00000000-0005-0000-0000-0000B31B0000}"/>
    <cellStyle name="g_rate_Merger Model34b_~1010844" xfId="7184" xr:uid="{00000000-0005-0000-0000-0000B41B0000}"/>
    <cellStyle name="g_rate_Merger Model34b_~1010844_Purchase Price - Weil v3" xfId="7185" xr:uid="{00000000-0005-0000-0000-0000B51B0000}"/>
    <cellStyle name="g_rate_Merger Model34b_~7576084" xfId="7186" xr:uid="{00000000-0005-0000-0000-0000B61B0000}"/>
    <cellStyle name="g_rate_Merger Model34b_Analysis at Various Share Prices" xfId="7187" xr:uid="{00000000-0005-0000-0000-0000B71B0000}"/>
    <cellStyle name="g_rate_Merger Model34b_Analysis at Various Share Prices_Purchase Price - Weil v3" xfId="7188" xr:uid="{00000000-0005-0000-0000-0000B81B0000}"/>
    <cellStyle name="g_rate_Merger Model34b_Comp Analysis Titan 11.11.05" xfId="7189" xr:uid="{00000000-0005-0000-0000-0000B91B0000}"/>
    <cellStyle name="g_rate_Merger Model34b_Comp Analysis Titan 11.11.05_Purchase Price - Weil v3" xfId="7190" xr:uid="{00000000-0005-0000-0000-0000BA1B0000}"/>
    <cellStyle name="g_rate_Merger Model34b_Financial Model Quarry 10.17.05 - MASTER (NUE)v5" xfId="7191" xr:uid="{00000000-0005-0000-0000-0000BB1B0000}"/>
    <cellStyle name="g_rate_Merger Model34b_Financial Model Quarry 10.17.05 - MASTER (NUE)v5_Purchase Price - Weil v3" xfId="7192" xr:uid="{00000000-0005-0000-0000-0000BC1B0000}"/>
    <cellStyle name="g_rate_Merger Model34b_Purchase Price - Weil v3" xfId="7193" xr:uid="{00000000-0005-0000-0000-0000BD1B0000}"/>
    <cellStyle name="g_rate_Merger Model34b_Titan Model 10.7.05" xfId="7194" xr:uid="{00000000-0005-0000-0000-0000BE1B0000}"/>
    <cellStyle name="g_rate_Merger Model34b_Titan Model 10.7.05_Purchase Price - Weil v3" xfId="7195" xr:uid="{00000000-0005-0000-0000-0000BF1B0000}"/>
    <cellStyle name="g_rate_Purchase Price - Weil v3" xfId="7196" xr:uid="{00000000-0005-0000-0000-0000C01B0000}"/>
    <cellStyle name="General [C]" xfId="7197" xr:uid="{00000000-0005-0000-0000-0000C11B0000}"/>
    <cellStyle name="General [R]" xfId="7198" xr:uid="{00000000-0005-0000-0000-0000C21B0000}"/>
    <cellStyle name="Good 2" xfId="167" xr:uid="{00000000-0005-0000-0000-0000C31B0000}"/>
    <cellStyle name="Good 2 2" xfId="7199" xr:uid="{00000000-0005-0000-0000-0000C41B0000}"/>
    <cellStyle name="Good 3" xfId="7200" xr:uid="{00000000-0005-0000-0000-0000C51B0000}"/>
    <cellStyle name="Good 4" xfId="7201" xr:uid="{00000000-0005-0000-0000-0000C61B0000}"/>
    <cellStyle name="Greenback" xfId="7202" xr:uid="{00000000-0005-0000-0000-0000C71B0000}"/>
    <cellStyle name="Grey" xfId="168" xr:uid="{00000000-0005-0000-0000-0000C81B0000}"/>
    <cellStyle name="Grey 2" xfId="169" xr:uid="{00000000-0005-0000-0000-0000C91B0000}"/>
    <cellStyle name="Grey Area" xfId="7203" xr:uid="{00000000-0005-0000-0000-0000CA1B0000}"/>
    <cellStyle name="Grey_~1010844" xfId="7204" xr:uid="{00000000-0005-0000-0000-0000CB1B0000}"/>
    <cellStyle name="Hard Percent" xfId="7205" xr:uid="{00000000-0005-0000-0000-0000CC1B0000}"/>
    <cellStyle name="HEADER" xfId="7206" xr:uid="{00000000-0005-0000-0000-0000CD1B0000}"/>
    <cellStyle name="Header Total" xfId="7207" xr:uid="{00000000-0005-0000-0000-0000CE1B0000}"/>
    <cellStyle name="header_Book1" xfId="7208" xr:uid="{00000000-0005-0000-0000-0000CF1B0000}"/>
    <cellStyle name="Header1" xfId="170" xr:uid="{00000000-0005-0000-0000-0000D01B0000}"/>
    <cellStyle name="Header2" xfId="171" xr:uid="{00000000-0005-0000-0000-0000D11B0000}"/>
    <cellStyle name="Header2 2" xfId="16773" xr:uid="{00000000-0005-0000-0000-0000D21B0000}"/>
    <cellStyle name="Header3" xfId="7209" xr:uid="{00000000-0005-0000-0000-0000D31B0000}"/>
    <cellStyle name="Header4" xfId="7210" xr:uid="{00000000-0005-0000-0000-0000D41B0000}"/>
    <cellStyle name="headers" xfId="7211" xr:uid="{00000000-0005-0000-0000-0000D51B0000}"/>
    <cellStyle name="Heading" xfId="172" xr:uid="{00000000-0005-0000-0000-0000D61B0000}"/>
    <cellStyle name="Heading 1 2" xfId="173" xr:uid="{00000000-0005-0000-0000-0000D71B0000}"/>
    <cellStyle name="Heading 1 2 2" xfId="7212" xr:uid="{00000000-0005-0000-0000-0000D81B0000}"/>
    <cellStyle name="Heading 1 2 2 2" xfId="7213" xr:uid="{00000000-0005-0000-0000-0000D91B0000}"/>
    <cellStyle name="Heading 1 2 3" xfId="7214" xr:uid="{00000000-0005-0000-0000-0000DA1B0000}"/>
    <cellStyle name="Heading 1 2 4" xfId="7215" xr:uid="{00000000-0005-0000-0000-0000DB1B0000}"/>
    <cellStyle name="Heading 1 2 4 2" xfId="7216" xr:uid="{00000000-0005-0000-0000-0000DC1B0000}"/>
    <cellStyle name="Heading 1 2 5" xfId="7217" xr:uid="{00000000-0005-0000-0000-0000DD1B0000}"/>
    <cellStyle name="Heading 1 2 6" xfId="7218" xr:uid="{00000000-0005-0000-0000-0000DE1B0000}"/>
    <cellStyle name="Heading 1 3" xfId="7219" xr:uid="{00000000-0005-0000-0000-0000DF1B0000}"/>
    <cellStyle name="Heading 1 3 2" xfId="7220" xr:uid="{00000000-0005-0000-0000-0000E01B0000}"/>
    <cellStyle name="Heading 1 4" xfId="7221" xr:uid="{00000000-0005-0000-0000-0000E11B0000}"/>
    <cellStyle name="Heading 2 2" xfId="174" xr:uid="{00000000-0005-0000-0000-0000E21B0000}"/>
    <cellStyle name="Heading 2 2 2" xfId="7222" xr:uid="{00000000-0005-0000-0000-0000E31B0000}"/>
    <cellStyle name="Heading 2 2 3" xfId="7223" xr:uid="{00000000-0005-0000-0000-0000E41B0000}"/>
    <cellStyle name="Heading 2 2 3 2" xfId="7224" xr:uid="{00000000-0005-0000-0000-0000E51B0000}"/>
    <cellStyle name="Heading 2 2 4" xfId="7225" xr:uid="{00000000-0005-0000-0000-0000E61B0000}"/>
    <cellStyle name="Heading 2 2 5" xfId="7226" xr:uid="{00000000-0005-0000-0000-0000E71B0000}"/>
    <cellStyle name="Heading 2 3" xfId="7227" xr:uid="{00000000-0005-0000-0000-0000E81B0000}"/>
    <cellStyle name="Heading 2 4" xfId="7228" xr:uid="{00000000-0005-0000-0000-0000E91B0000}"/>
    <cellStyle name="Heading 3 2" xfId="175" xr:uid="{00000000-0005-0000-0000-0000EA1B0000}"/>
    <cellStyle name="Heading 3 2 2" xfId="7229" xr:uid="{00000000-0005-0000-0000-0000EB1B0000}"/>
    <cellStyle name="Heading 3 3" xfId="7230" xr:uid="{00000000-0005-0000-0000-0000EC1B0000}"/>
    <cellStyle name="Heading 3 4" xfId="7231" xr:uid="{00000000-0005-0000-0000-0000ED1B0000}"/>
    <cellStyle name="Heading 4 2" xfId="176" xr:uid="{00000000-0005-0000-0000-0000EE1B0000}"/>
    <cellStyle name="Heading 4 2 2" xfId="7232" xr:uid="{00000000-0005-0000-0000-0000EF1B0000}"/>
    <cellStyle name="Heading 4 3" xfId="7233" xr:uid="{00000000-0005-0000-0000-0000F01B0000}"/>
    <cellStyle name="Heading 4 4" xfId="7234" xr:uid="{00000000-0005-0000-0000-0000F11B0000}"/>
    <cellStyle name="Heading Left" xfId="7235" xr:uid="{00000000-0005-0000-0000-0000F21B0000}"/>
    <cellStyle name="Heading No Underline" xfId="7236" xr:uid="{00000000-0005-0000-0000-0000F31B0000}"/>
    <cellStyle name="Heading Right" xfId="7237" xr:uid="{00000000-0005-0000-0000-0000F41B0000}"/>
    <cellStyle name="Heading With Underline" xfId="7238" xr:uid="{00000000-0005-0000-0000-0000F51B0000}"/>
    <cellStyle name="Heading1" xfId="7239" xr:uid="{00000000-0005-0000-0000-0000F61B0000}"/>
    <cellStyle name="Heading2" xfId="7240" xr:uid="{00000000-0005-0000-0000-0000F71B0000}"/>
    <cellStyle name="HeadingColumn" xfId="7241" xr:uid="{00000000-0005-0000-0000-0000F81B0000}"/>
    <cellStyle name="HEADINGS" xfId="7242" xr:uid="{00000000-0005-0000-0000-0000F91B0000}"/>
    <cellStyle name="HEADINGS 2" xfId="7243" xr:uid="{00000000-0005-0000-0000-0000FA1B0000}"/>
    <cellStyle name="HEADINGSTOP" xfId="7244" xr:uid="{00000000-0005-0000-0000-0000FB1B0000}"/>
    <cellStyle name="HeadingYear" xfId="7245" xr:uid="{00000000-0005-0000-0000-0000FC1B0000}"/>
    <cellStyle name="Hed Side" xfId="7246" xr:uid="{00000000-0005-0000-0000-0000FD1B0000}"/>
    <cellStyle name="Hed Top" xfId="7247" xr:uid="{00000000-0005-0000-0000-0000FE1B0000}"/>
    <cellStyle name="Hed Top - SECTION" xfId="7248" xr:uid="{00000000-0005-0000-0000-0000FF1B0000}"/>
    <cellStyle name="Hidden" xfId="7249" xr:uid="{00000000-0005-0000-0000-0000001C0000}"/>
    <cellStyle name="hidenorm" xfId="7250" xr:uid="{00000000-0005-0000-0000-0000011C0000}"/>
    <cellStyle name="HIGHLIGHT" xfId="7251" xr:uid="{00000000-0005-0000-0000-0000021C0000}"/>
    <cellStyle name="Hipervínculo_AR Cash Calculation" xfId="7252" xr:uid="{00000000-0005-0000-0000-0000031C0000}"/>
    <cellStyle name="Hyperlink 10" xfId="7253" xr:uid="{00000000-0005-0000-0000-0000041C0000}"/>
    <cellStyle name="Hyperlink 10 2" xfId="7254" xr:uid="{00000000-0005-0000-0000-0000051C0000}"/>
    <cellStyle name="Hyperlink 2" xfId="7255" xr:uid="{00000000-0005-0000-0000-0000061C0000}"/>
    <cellStyle name="Hyperlink 2 2" xfId="7256" xr:uid="{00000000-0005-0000-0000-0000071C0000}"/>
    <cellStyle name="Hyperlink 2 3" xfId="7257" xr:uid="{00000000-0005-0000-0000-0000081C0000}"/>
    <cellStyle name="Hyperlink 2 4" xfId="7258" xr:uid="{00000000-0005-0000-0000-0000091C0000}"/>
    <cellStyle name="Hyperlink 3" xfId="7259" xr:uid="{00000000-0005-0000-0000-00000A1C0000}"/>
    <cellStyle name="Hyperlink 4" xfId="7260" xr:uid="{00000000-0005-0000-0000-00000B1C0000}"/>
    <cellStyle name="Hyperlink 5" xfId="7261" xr:uid="{00000000-0005-0000-0000-00000C1C0000}"/>
    <cellStyle name="Hyperlink 6" xfId="7262" xr:uid="{00000000-0005-0000-0000-00000D1C0000}"/>
    <cellStyle name="Hyperlink 7" xfId="7263" xr:uid="{00000000-0005-0000-0000-00000E1C0000}"/>
    <cellStyle name="Hyperlink 8" xfId="7264" xr:uid="{00000000-0005-0000-0000-00000F1C0000}"/>
    <cellStyle name="Hyperlink 9" xfId="7265" xr:uid="{00000000-0005-0000-0000-0000101C0000}"/>
    <cellStyle name="Indented [0]" xfId="7266" xr:uid="{00000000-0005-0000-0000-0000111C0000}"/>
    <cellStyle name="Indented [2]" xfId="7267" xr:uid="{00000000-0005-0000-0000-0000121C0000}"/>
    <cellStyle name="Indented [4]" xfId="7268" xr:uid="{00000000-0005-0000-0000-0000131C0000}"/>
    <cellStyle name="Indented [6]" xfId="7269" xr:uid="{00000000-0005-0000-0000-0000141C0000}"/>
    <cellStyle name="Input [yellow]" xfId="177" xr:uid="{00000000-0005-0000-0000-0000151C0000}"/>
    <cellStyle name="Input [yellow] 2" xfId="178" xr:uid="{00000000-0005-0000-0000-0000161C0000}"/>
    <cellStyle name="Input [yellow] 2 2" xfId="16775" xr:uid="{00000000-0005-0000-0000-0000171C0000}"/>
    <cellStyle name="Input [yellow] 3" xfId="16774" xr:uid="{00000000-0005-0000-0000-0000181C0000}"/>
    <cellStyle name="Input [yellow]_Impact" xfId="7270" xr:uid="{00000000-0005-0000-0000-0000191C0000}"/>
    <cellStyle name="Input 10" xfId="7271" xr:uid="{00000000-0005-0000-0000-00001A1C0000}"/>
    <cellStyle name="Input 10 2" xfId="7272" xr:uid="{00000000-0005-0000-0000-00001B1C0000}"/>
    <cellStyle name="Input 11" xfId="7273" xr:uid="{00000000-0005-0000-0000-00001C1C0000}"/>
    <cellStyle name="Input 12" xfId="7274" xr:uid="{00000000-0005-0000-0000-00001D1C0000}"/>
    <cellStyle name="Input 2" xfId="179" xr:uid="{00000000-0005-0000-0000-00001E1C0000}"/>
    <cellStyle name="Input 2 2" xfId="7275" xr:uid="{00000000-0005-0000-0000-00001F1C0000}"/>
    <cellStyle name="Input 2 3" xfId="7276" xr:uid="{00000000-0005-0000-0000-0000201C0000}"/>
    <cellStyle name="Input 3" xfId="7277" xr:uid="{00000000-0005-0000-0000-0000211C0000}"/>
    <cellStyle name="Input 3 2" xfId="7278" xr:uid="{00000000-0005-0000-0000-0000221C0000}"/>
    <cellStyle name="Input 4" xfId="7279" xr:uid="{00000000-0005-0000-0000-0000231C0000}"/>
    <cellStyle name="Input 4 2" xfId="7280" xr:uid="{00000000-0005-0000-0000-0000241C0000}"/>
    <cellStyle name="Input 5" xfId="7281" xr:uid="{00000000-0005-0000-0000-0000251C0000}"/>
    <cellStyle name="Input 5 2" xfId="7282" xr:uid="{00000000-0005-0000-0000-0000261C0000}"/>
    <cellStyle name="Input 6" xfId="7283" xr:uid="{00000000-0005-0000-0000-0000271C0000}"/>
    <cellStyle name="Input 6 2" xfId="7284" xr:uid="{00000000-0005-0000-0000-0000281C0000}"/>
    <cellStyle name="Input 7" xfId="7285" xr:uid="{00000000-0005-0000-0000-0000291C0000}"/>
    <cellStyle name="Input 7 2" xfId="7286" xr:uid="{00000000-0005-0000-0000-00002A1C0000}"/>
    <cellStyle name="Input 8" xfId="7287" xr:uid="{00000000-0005-0000-0000-00002B1C0000}"/>
    <cellStyle name="Input 8 2" xfId="7288" xr:uid="{00000000-0005-0000-0000-00002C1C0000}"/>
    <cellStyle name="Input 9" xfId="7289" xr:uid="{00000000-0005-0000-0000-00002D1C0000}"/>
    <cellStyle name="Input 9 2" xfId="7290" xr:uid="{00000000-0005-0000-0000-00002E1C0000}"/>
    <cellStyle name="Input Cells" xfId="7291" xr:uid="{00000000-0005-0000-0000-00002F1C0000}"/>
    <cellStyle name="Input Currency" xfId="7292" xr:uid="{00000000-0005-0000-0000-0000301C0000}"/>
    <cellStyle name="Input Date" xfId="7293" xr:uid="{00000000-0005-0000-0000-0000311C0000}"/>
    <cellStyle name="Input Fixed [0]" xfId="7294" xr:uid="{00000000-0005-0000-0000-0000321C0000}"/>
    <cellStyle name="Input Normal" xfId="7295" xr:uid="{00000000-0005-0000-0000-0000331C0000}"/>
    <cellStyle name="Input Percent" xfId="7296" xr:uid="{00000000-0005-0000-0000-0000341C0000}"/>
    <cellStyle name="Input Percent [2]" xfId="7297" xr:uid="{00000000-0005-0000-0000-0000351C0000}"/>
    <cellStyle name="Input Percent_~1010844" xfId="7298" xr:uid="{00000000-0005-0000-0000-0000361C0000}"/>
    <cellStyle name="Input Titles" xfId="7299" xr:uid="{00000000-0005-0000-0000-0000371C0000}"/>
    <cellStyle name="InputBlueFont" xfId="7300" xr:uid="{00000000-0005-0000-0000-0000381C0000}"/>
    <cellStyle name="InputNormal" xfId="7301" xr:uid="{00000000-0005-0000-0000-0000391C0000}"/>
    <cellStyle name="Integer" xfId="7302" xr:uid="{00000000-0005-0000-0000-00003A1C0000}"/>
    <cellStyle name="Inverse Header" xfId="7303" xr:uid="{00000000-0005-0000-0000-00003B1C0000}"/>
    <cellStyle name="Invisible" xfId="7304" xr:uid="{00000000-0005-0000-0000-00003C1C0000}"/>
    <cellStyle name="Italics" xfId="7305" xr:uid="{00000000-0005-0000-0000-00003D1C0000}"/>
    <cellStyle name="Item" xfId="7306" xr:uid="{00000000-0005-0000-0000-00003E1C0000}"/>
    <cellStyle name="Item Descriptions" xfId="7307" xr:uid="{00000000-0005-0000-0000-00003F1C0000}"/>
    <cellStyle name="Item Descriptions - Bold" xfId="7308" xr:uid="{00000000-0005-0000-0000-0000401C0000}"/>
    <cellStyle name="Item Descriptions_~7576084" xfId="7309" xr:uid="{00000000-0005-0000-0000-0000411C0000}"/>
    <cellStyle name="Item_~7576084" xfId="7310" xr:uid="{00000000-0005-0000-0000-0000421C0000}"/>
    <cellStyle name="ItemTypeClass" xfId="7311" xr:uid="{00000000-0005-0000-0000-0000431C0000}"/>
    <cellStyle name="Komma [0]_laroux" xfId="7312" xr:uid="{00000000-0005-0000-0000-0000441C0000}"/>
    <cellStyle name="Komma_laroux" xfId="7313" xr:uid="{00000000-0005-0000-0000-0000451C0000}"/>
    <cellStyle name="KP_Normal" xfId="7314" xr:uid="{00000000-0005-0000-0000-0000461C0000}"/>
    <cellStyle name="KPMG Heading 1" xfId="7315" xr:uid="{00000000-0005-0000-0000-0000471C0000}"/>
    <cellStyle name="KPMG Heading 2" xfId="7316" xr:uid="{00000000-0005-0000-0000-0000481C0000}"/>
    <cellStyle name="KPMG Heading 3" xfId="7317" xr:uid="{00000000-0005-0000-0000-0000491C0000}"/>
    <cellStyle name="KPMG Heading 4" xfId="7318" xr:uid="{00000000-0005-0000-0000-00004A1C0000}"/>
    <cellStyle name="KPMG Normal" xfId="7319" xr:uid="{00000000-0005-0000-0000-00004B1C0000}"/>
    <cellStyle name="KPMG Normal Text" xfId="7320" xr:uid="{00000000-0005-0000-0000-00004C1C0000}"/>
    <cellStyle name="Labels - Style3" xfId="7321" xr:uid="{00000000-0005-0000-0000-00004D1C0000}"/>
    <cellStyle name="Lable8Left" xfId="7322" xr:uid="{00000000-0005-0000-0000-00004E1C0000}"/>
    <cellStyle name="LeftSubtitle" xfId="7323" xr:uid="{00000000-0005-0000-0000-00004F1C0000}"/>
    <cellStyle name="Line" xfId="7324" xr:uid="{00000000-0005-0000-0000-0000501C0000}"/>
    <cellStyle name="Link Currency (0)" xfId="180" xr:uid="{00000000-0005-0000-0000-0000511C0000}"/>
    <cellStyle name="Link Currency (2)" xfId="181" xr:uid="{00000000-0005-0000-0000-0000521C0000}"/>
    <cellStyle name="Link Units (0)" xfId="182" xr:uid="{00000000-0005-0000-0000-0000531C0000}"/>
    <cellStyle name="Link Units (1)" xfId="183" xr:uid="{00000000-0005-0000-0000-0000541C0000}"/>
    <cellStyle name="Link Units (2)" xfId="184" xr:uid="{00000000-0005-0000-0000-0000551C0000}"/>
    <cellStyle name="Linked Cell 2" xfId="185" xr:uid="{00000000-0005-0000-0000-0000561C0000}"/>
    <cellStyle name="Linked Cell 2 2" xfId="7325" xr:uid="{00000000-0005-0000-0000-0000571C0000}"/>
    <cellStyle name="Linked Cell 3" xfId="7326" xr:uid="{00000000-0005-0000-0000-0000581C0000}"/>
    <cellStyle name="Linked Cell 4" xfId="7327" xr:uid="{00000000-0005-0000-0000-0000591C0000}"/>
    <cellStyle name="Linked Cells" xfId="7328" xr:uid="{00000000-0005-0000-0000-00005A1C0000}"/>
    <cellStyle name="m" xfId="7329" xr:uid="{00000000-0005-0000-0000-00005B1C0000}"/>
    <cellStyle name="m$" xfId="7330" xr:uid="{00000000-0005-0000-0000-00005C1C0000}"/>
    <cellStyle name="m_Angola Congo Model3" xfId="7331" xr:uid="{00000000-0005-0000-0000-00005D1C0000}"/>
    <cellStyle name="m_CCRD-muse -2" xfId="7332" xr:uid="{00000000-0005-0000-0000-00005E1C0000}"/>
    <cellStyle name="m_DCF-Valuation Support" xfId="7333" xr:uid="{00000000-0005-0000-0000-00005F1C0000}"/>
    <cellStyle name="m_ICOS-INC" xfId="7334" xr:uid="{00000000-0005-0000-0000-0000601C0000}"/>
    <cellStyle name="m_ICOS-INC (2)" xfId="7335" xr:uid="{00000000-0005-0000-0000-0000611C0000}"/>
    <cellStyle name="m_ICOS-INC (2)_~7576084" xfId="7336" xr:uid="{00000000-0005-0000-0000-0000621C0000}"/>
    <cellStyle name="m_ICOS-INC_~7576084" xfId="7337" xr:uid="{00000000-0005-0000-0000-0000631C0000}"/>
    <cellStyle name="m_Merger Model16.xls Chart 1" xfId="7338" xr:uid="{00000000-0005-0000-0000-0000641C0000}"/>
    <cellStyle name="m_Merger Model34b" xfId="7339" xr:uid="{00000000-0005-0000-0000-0000651C0000}"/>
    <cellStyle name="m_MKS 7.29 Valuation" xfId="7340" xr:uid="{00000000-0005-0000-0000-0000661C0000}"/>
    <cellStyle name="m_MKS 7.29 Valuation_~7576084" xfId="7341" xr:uid="{00000000-0005-0000-0000-0000671C0000}"/>
    <cellStyle name="m_MKSI_combined" xfId="7342" xr:uid="{00000000-0005-0000-0000-0000681C0000}"/>
    <cellStyle name="m_MKSI_combined1" xfId="7343" xr:uid="{00000000-0005-0000-0000-0000691C0000}"/>
    <cellStyle name="m_MKSI-INC" xfId="7344" xr:uid="{00000000-0005-0000-0000-00006A1C0000}"/>
    <cellStyle name="Magic" xfId="7345" xr:uid="{00000000-0005-0000-0000-00006B1C0000}"/>
    <cellStyle name="Map Labels" xfId="7346" xr:uid="{00000000-0005-0000-0000-00006C1C0000}"/>
    <cellStyle name="Map Legend" xfId="7347" xr:uid="{00000000-0005-0000-0000-00006D1C0000}"/>
    <cellStyle name="Map Title" xfId="7348" xr:uid="{00000000-0005-0000-0000-00006E1C0000}"/>
    <cellStyle name="MDY" xfId="7349" xr:uid="{00000000-0005-0000-0000-00006F1C0000}"/>
    <cellStyle name="mil" xfId="7350" xr:uid="{00000000-0005-0000-0000-0000701C0000}"/>
    <cellStyle name="Millares [0]_&quot;C&quot;AÑO" xfId="7351" xr:uid="{00000000-0005-0000-0000-0000711C0000}"/>
    <cellStyle name="Millares_&quot;C&quot;AÑO" xfId="7352" xr:uid="{00000000-0005-0000-0000-0000721C0000}"/>
    <cellStyle name="Milliers [0]_!!!GO" xfId="7353" xr:uid="{00000000-0005-0000-0000-0000731C0000}"/>
    <cellStyle name="Milliers_!!!GO" xfId="7354" xr:uid="{00000000-0005-0000-0000-0000741C0000}"/>
    <cellStyle name="millions" xfId="7355" xr:uid="{00000000-0005-0000-0000-0000751C0000}"/>
    <cellStyle name="millions dollars" xfId="7356" xr:uid="{00000000-0005-0000-0000-0000761C0000}"/>
    <cellStyle name="mm" xfId="7357" xr:uid="{00000000-0005-0000-0000-0000771C0000}"/>
    <cellStyle name="mm/dd/yy" xfId="7358" xr:uid="{00000000-0005-0000-0000-0000781C0000}"/>
    <cellStyle name="Model" xfId="7359" xr:uid="{00000000-0005-0000-0000-0000791C0000}"/>
    <cellStyle name="Model 2" xfId="7360" xr:uid="{00000000-0005-0000-0000-00007A1C0000}"/>
    <cellStyle name="Moneda [0]_&quot;C&quot;AÑO" xfId="7361" xr:uid="{00000000-0005-0000-0000-00007B1C0000}"/>
    <cellStyle name="Moneda_&quot;C&quot;AÑO" xfId="7362" xr:uid="{00000000-0005-0000-0000-00007C1C0000}"/>
    <cellStyle name="Monétaire [0]_!!!GO" xfId="7363" xr:uid="{00000000-0005-0000-0000-00007D1C0000}"/>
    <cellStyle name="Monétaire_!!!GO" xfId="7364" xr:uid="{00000000-0005-0000-0000-00007E1C0000}"/>
    <cellStyle name="Monetario" xfId="7365" xr:uid="{00000000-0005-0000-0000-00007F1C0000}"/>
    <cellStyle name="monics" xfId="7366" xr:uid="{00000000-0005-0000-0000-0000801C0000}"/>
    <cellStyle name="MonthDate" xfId="7367" xr:uid="{00000000-0005-0000-0000-0000811C0000}"/>
    <cellStyle name="Mult No x" xfId="7368" xr:uid="{00000000-0005-0000-0000-0000821C0000}"/>
    <cellStyle name="Mult With x" xfId="7369" xr:uid="{00000000-0005-0000-0000-0000831C0000}"/>
    <cellStyle name="Multiple" xfId="7370" xr:uid="{00000000-0005-0000-0000-0000841C0000}"/>
    <cellStyle name="Multiple (no x)" xfId="7371" xr:uid="{00000000-0005-0000-0000-0000851C0000}"/>
    <cellStyle name="Multiple (x)" xfId="7372" xr:uid="{00000000-0005-0000-0000-0000861C0000}"/>
    <cellStyle name="Multiple []" xfId="7373" xr:uid="{00000000-0005-0000-0000-0000871C0000}"/>
    <cellStyle name="Multiple [0]" xfId="7374" xr:uid="{00000000-0005-0000-0000-0000881C0000}"/>
    <cellStyle name="Multiple [0] []" xfId="7375" xr:uid="{00000000-0005-0000-0000-0000891C0000}"/>
    <cellStyle name="Multiple [1]" xfId="7376" xr:uid="{00000000-0005-0000-0000-00008A1C0000}"/>
    <cellStyle name="Multiple [1] []" xfId="7377" xr:uid="{00000000-0005-0000-0000-00008B1C0000}"/>
    <cellStyle name="Multiple_~1010844" xfId="7378" xr:uid="{00000000-0005-0000-0000-00008C1C0000}"/>
    <cellStyle name="Multiple1" xfId="7379" xr:uid="{00000000-0005-0000-0000-00008D1C0000}"/>
    <cellStyle name="MultipleBelow" xfId="7380" xr:uid="{00000000-0005-0000-0000-00008E1C0000}"/>
    <cellStyle name="Multiples" xfId="7381" xr:uid="{00000000-0005-0000-0000-00008F1C0000}"/>
    <cellStyle name="M-Y" xfId="7382" xr:uid="{00000000-0005-0000-0000-0000901C0000}"/>
    <cellStyle name="NA is zero" xfId="7383" xr:uid="{00000000-0005-0000-0000-0000911C0000}"/>
    <cellStyle name="Neutral 2" xfId="186" xr:uid="{00000000-0005-0000-0000-0000921C0000}"/>
    <cellStyle name="Neutral 2 2" xfId="7384" xr:uid="{00000000-0005-0000-0000-0000931C0000}"/>
    <cellStyle name="Neutral 3" xfId="7385" xr:uid="{00000000-0005-0000-0000-0000941C0000}"/>
    <cellStyle name="Neutral 4" xfId="7386" xr:uid="{00000000-0005-0000-0000-0000951C0000}"/>
    <cellStyle name="NewPeso" xfId="7387" xr:uid="{00000000-0005-0000-0000-0000961C0000}"/>
    <cellStyle name="No Border" xfId="7388" xr:uid="{00000000-0005-0000-0000-0000971C0000}"/>
    <cellStyle name="no dec" xfId="7389" xr:uid="{00000000-0005-0000-0000-0000981C0000}"/>
    <cellStyle name="No Decimals" xfId="7390" xr:uid="{00000000-0005-0000-0000-0000991C0000}"/>
    <cellStyle name="noks" xfId="7391" xr:uid="{00000000-0005-0000-0000-00009A1C0000}"/>
    <cellStyle name="NonPrint_Heading" xfId="7392" xr:uid="{00000000-0005-0000-0000-00009B1C0000}"/>
    <cellStyle name="Normal" xfId="0" builtinId="0"/>
    <cellStyle name="Normal - size 11" xfId="7393" xr:uid="{00000000-0005-0000-0000-00009D1C0000}"/>
    <cellStyle name="Normal - Style1" xfId="187" xr:uid="{00000000-0005-0000-0000-00009E1C0000}"/>
    <cellStyle name="Normal - Style1 2" xfId="7394" xr:uid="{00000000-0005-0000-0000-00009F1C0000}"/>
    <cellStyle name="Normal - Style1 2 2" xfId="7395" xr:uid="{00000000-0005-0000-0000-0000A01C0000}"/>
    <cellStyle name="Normal [0]" xfId="7396" xr:uid="{00000000-0005-0000-0000-0000A11C0000}"/>
    <cellStyle name="Normal [1]" xfId="7397" xr:uid="{00000000-0005-0000-0000-0000A21C0000}"/>
    <cellStyle name="Normal [2]" xfId="7398" xr:uid="{00000000-0005-0000-0000-0000A31C0000}"/>
    <cellStyle name="Normal [3]" xfId="7399" xr:uid="{00000000-0005-0000-0000-0000A41C0000}"/>
    <cellStyle name="Normal 1" xfId="7400" xr:uid="{00000000-0005-0000-0000-0000A51C0000}"/>
    <cellStyle name="Normal 10" xfId="188" xr:uid="{00000000-0005-0000-0000-0000A61C0000}"/>
    <cellStyle name="Normal 10 2" xfId="7401" xr:uid="{00000000-0005-0000-0000-0000A71C0000}"/>
    <cellStyle name="Normal 10 2 2" xfId="7402" xr:uid="{00000000-0005-0000-0000-0000A81C0000}"/>
    <cellStyle name="Normal 10 3" xfId="283" xr:uid="{00000000-0005-0000-0000-0000A91C0000}"/>
    <cellStyle name="Normal 10 3 2" xfId="7403" xr:uid="{00000000-0005-0000-0000-0000AA1C0000}"/>
    <cellStyle name="Normal 10 3 2 2" xfId="7404" xr:uid="{00000000-0005-0000-0000-0000AB1C0000}"/>
    <cellStyle name="Normal 10 3 3" xfId="7405" xr:uid="{00000000-0005-0000-0000-0000AC1C0000}"/>
    <cellStyle name="Normal 10 4" xfId="7406" xr:uid="{00000000-0005-0000-0000-0000AD1C0000}"/>
    <cellStyle name="Normal 100" xfId="7407" xr:uid="{00000000-0005-0000-0000-0000AE1C0000}"/>
    <cellStyle name="Normal 100 2" xfId="7408" xr:uid="{00000000-0005-0000-0000-0000AF1C0000}"/>
    <cellStyle name="Normal 100 2 2" xfId="7409" xr:uid="{00000000-0005-0000-0000-0000B01C0000}"/>
    <cellStyle name="Normal 100 2 2 2" xfId="7410" xr:uid="{00000000-0005-0000-0000-0000B11C0000}"/>
    <cellStyle name="Normal 100 2 2 2 2" xfId="7411" xr:uid="{00000000-0005-0000-0000-0000B21C0000}"/>
    <cellStyle name="Normal 100 2 2 3" xfId="7412" xr:uid="{00000000-0005-0000-0000-0000B31C0000}"/>
    <cellStyle name="Normal 100 2 2 3 2" xfId="7413" xr:uid="{00000000-0005-0000-0000-0000B41C0000}"/>
    <cellStyle name="Normal 100 2 2 4" xfId="7414" xr:uid="{00000000-0005-0000-0000-0000B51C0000}"/>
    <cellStyle name="Normal 100 2 3" xfId="7415" xr:uid="{00000000-0005-0000-0000-0000B61C0000}"/>
    <cellStyle name="Normal 100 2 3 2" xfId="7416" xr:uid="{00000000-0005-0000-0000-0000B71C0000}"/>
    <cellStyle name="Normal 100 2 3 2 2" xfId="7417" xr:uid="{00000000-0005-0000-0000-0000B81C0000}"/>
    <cellStyle name="Normal 100 2 3 3" xfId="7418" xr:uid="{00000000-0005-0000-0000-0000B91C0000}"/>
    <cellStyle name="Normal 100 2 3 4" xfId="7419" xr:uid="{00000000-0005-0000-0000-0000BA1C0000}"/>
    <cellStyle name="Normal 100 2 4" xfId="7420" xr:uid="{00000000-0005-0000-0000-0000BB1C0000}"/>
    <cellStyle name="Normal 100 2 4 2" xfId="7421" xr:uid="{00000000-0005-0000-0000-0000BC1C0000}"/>
    <cellStyle name="Normal 100 2 5" xfId="7422" xr:uid="{00000000-0005-0000-0000-0000BD1C0000}"/>
    <cellStyle name="Normal 100 2 5 2" xfId="7423" xr:uid="{00000000-0005-0000-0000-0000BE1C0000}"/>
    <cellStyle name="Normal 100 2 6" xfId="7424" xr:uid="{00000000-0005-0000-0000-0000BF1C0000}"/>
    <cellStyle name="Normal 100 3" xfId="7425" xr:uid="{00000000-0005-0000-0000-0000C01C0000}"/>
    <cellStyle name="Normal 100 3 2" xfId="7426" xr:uid="{00000000-0005-0000-0000-0000C11C0000}"/>
    <cellStyle name="Normal 100 3 3" xfId="7427" xr:uid="{00000000-0005-0000-0000-0000C21C0000}"/>
    <cellStyle name="Normal 100 3 3 2" xfId="7428" xr:uid="{00000000-0005-0000-0000-0000C31C0000}"/>
    <cellStyle name="Normal 100 4" xfId="7429" xr:uid="{00000000-0005-0000-0000-0000C41C0000}"/>
    <cellStyle name="Normal 100 5" xfId="7430" xr:uid="{00000000-0005-0000-0000-0000C51C0000}"/>
    <cellStyle name="Normal 100 5 2" xfId="7431" xr:uid="{00000000-0005-0000-0000-0000C61C0000}"/>
    <cellStyle name="Normal 100 6" xfId="7432" xr:uid="{00000000-0005-0000-0000-0000C71C0000}"/>
    <cellStyle name="Normal 100 6 2" xfId="7433" xr:uid="{00000000-0005-0000-0000-0000C81C0000}"/>
    <cellStyle name="Normal 100 7" xfId="7434" xr:uid="{00000000-0005-0000-0000-0000C91C0000}"/>
    <cellStyle name="Normal 101" xfId="7435" xr:uid="{00000000-0005-0000-0000-0000CA1C0000}"/>
    <cellStyle name="Normal 101 2" xfId="7436" xr:uid="{00000000-0005-0000-0000-0000CB1C0000}"/>
    <cellStyle name="Normal 101 2 2" xfId="7437" xr:uid="{00000000-0005-0000-0000-0000CC1C0000}"/>
    <cellStyle name="Normal 101 2 2 2" xfId="7438" xr:uid="{00000000-0005-0000-0000-0000CD1C0000}"/>
    <cellStyle name="Normal 101 2 3" xfId="7439" xr:uid="{00000000-0005-0000-0000-0000CE1C0000}"/>
    <cellStyle name="Normal 101 3" xfId="7440" xr:uid="{00000000-0005-0000-0000-0000CF1C0000}"/>
    <cellStyle name="Normal 101 3 2" xfId="7441" xr:uid="{00000000-0005-0000-0000-0000D01C0000}"/>
    <cellStyle name="Normal 101 4" xfId="7442" xr:uid="{00000000-0005-0000-0000-0000D11C0000}"/>
    <cellStyle name="Normal 101 5" xfId="7443" xr:uid="{00000000-0005-0000-0000-0000D21C0000}"/>
    <cellStyle name="Normal 102" xfId="7444" xr:uid="{00000000-0005-0000-0000-0000D31C0000}"/>
    <cellStyle name="Normal 102 2" xfId="7445" xr:uid="{00000000-0005-0000-0000-0000D41C0000}"/>
    <cellStyle name="Normal 102 2 2" xfId="7446" xr:uid="{00000000-0005-0000-0000-0000D51C0000}"/>
    <cellStyle name="Normal 102 2 2 2" xfId="7447" xr:uid="{00000000-0005-0000-0000-0000D61C0000}"/>
    <cellStyle name="Normal 102 3" xfId="7448" xr:uid="{00000000-0005-0000-0000-0000D71C0000}"/>
    <cellStyle name="Normal 102 3 2" xfId="7449" xr:uid="{00000000-0005-0000-0000-0000D81C0000}"/>
    <cellStyle name="Normal 102 4" xfId="7450" xr:uid="{00000000-0005-0000-0000-0000D91C0000}"/>
    <cellStyle name="Normal 103" xfId="7451" xr:uid="{00000000-0005-0000-0000-0000DA1C0000}"/>
    <cellStyle name="Normal 103 2" xfId="7452" xr:uid="{00000000-0005-0000-0000-0000DB1C0000}"/>
    <cellStyle name="Normal 104" xfId="7453" xr:uid="{00000000-0005-0000-0000-0000DC1C0000}"/>
    <cellStyle name="Normal 104 2" xfId="7454" xr:uid="{00000000-0005-0000-0000-0000DD1C0000}"/>
    <cellStyle name="Normal 104 3" xfId="7455" xr:uid="{00000000-0005-0000-0000-0000DE1C0000}"/>
    <cellStyle name="Normal 104 3 2" xfId="7456" xr:uid="{00000000-0005-0000-0000-0000DF1C0000}"/>
    <cellStyle name="Normal 104 3 2 2" xfId="7457" xr:uid="{00000000-0005-0000-0000-0000E01C0000}"/>
    <cellStyle name="Normal 104 3 3" xfId="7458" xr:uid="{00000000-0005-0000-0000-0000E11C0000}"/>
    <cellStyle name="Normal 104 4" xfId="7459" xr:uid="{00000000-0005-0000-0000-0000E21C0000}"/>
    <cellStyle name="Normal 104 4 2" xfId="7460" xr:uid="{00000000-0005-0000-0000-0000E31C0000}"/>
    <cellStyle name="Normal 105" xfId="7461" xr:uid="{00000000-0005-0000-0000-0000E41C0000}"/>
    <cellStyle name="Normal 105 2" xfId="7462" xr:uid="{00000000-0005-0000-0000-0000E51C0000}"/>
    <cellStyle name="Normal 105 2 2" xfId="7463" xr:uid="{00000000-0005-0000-0000-0000E61C0000}"/>
    <cellStyle name="Normal 105 2 2 2" xfId="7464" xr:uid="{00000000-0005-0000-0000-0000E71C0000}"/>
    <cellStyle name="Normal 105 2 2 2 2" xfId="7465" xr:uid="{00000000-0005-0000-0000-0000E81C0000}"/>
    <cellStyle name="Normal 105 2 2 3" xfId="7466" xr:uid="{00000000-0005-0000-0000-0000E91C0000}"/>
    <cellStyle name="Normal 105 2 3" xfId="7467" xr:uid="{00000000-0005-0000-0000-0000EA1C0000}"/>
    <cellStyle name="Normal 105 2 3 2" xfId="7468" xr:uid="{00000000-0005-0000-0000-0000EB1C0000}"/>
    <cellStyle name="Normal 105 2 4" xfId="7469" xr:uid="{00000000-0005-0000-0000-0000EC1C0000}"/>
    <cellStyle name="Normal 105 2 4 2" xfId="7470" xr:uid="{00000000-0005-0000-0000-0000ED1C0000}"/>
    <cellStyle name="Normal 105 2 5" xfId="7471" xr:uid="{00000000-0005-0000-0000-0000EE1C0000}"/>
    <cellStyle name="Normal 105 2 5 2" xfId="7472" xr:uid="{00000000-0005-0000-0000-0000EF1C0000}"/>
    <cellStyle name="Normal 105 2 6" xfId="7473" xr:uid="{00000000-0005-0000-0000-0000F01C0000}"/>
    <cellStyle name="Normal 105 3" xfId="7474" xr:uid="{00000000-0005-0000-0000-0000F11C0000}"/>
    <cellStyle name="Normal 105 3 2" xfId="7475" xr:uid="{00000000-0005-0000-0000-0000F21C0000}"/>
    <cellStyle name="Normal 105 3 2 2" xfId="7476" xr:uid="{00000000-0005-0000-0000-0000F31C0000}"/>
    <cellStyle name="Normal 105 4" xfId="7477" xr:uid="{00000000-0005-0000-0000-0000F41C0000}"/>
    <cellStyle name="Normal 105 4 2" xfId="7478" xr:uid="{00000000-0005-0000-0000-0000F51C0000}"/>
    <cellStyle name="Normal 105 5" xfId="7479" xr:uid="{00000000-0005-0000-0000-0000F61C0000}"/>
    <cellStyle name="Normal 105 5 2" xfId="7480" xr:uid="{00000000-0005-0000-0000-0000F71C0000}"/>
    <cellStyle name="Normal 105 6" xfId="7481" xr:uid="{00000000-0005-0000-0000-0000F81C0000}"/>
    <cellStyle name="Normal 106" xfId="7482" xr:uid="{00000000-0005-0000-0000-0000F91C0000}"/>
    <cellStyle name="Normal 106 2" xfId="7483" xr:uid="{00000000-0005-0000-0000-0000FA1C0000}"/>
    <cellStyle name="Normal 106 2 2" xfId="7484" xr:uid="{00000000-0005-0000-0000-0000FB1C0000}"/>
    <cellStyle name="Normal 106 3" xfId="7485" xr:uid="{00000000-0005-0000-0000-0000FC1C0000}"/>
    <cellStyle name="Normal 106 3 2" xfId="7486" xr:uid="{00000000-0005-0000-0000-0000FD1C0000}"/>
    <cellStyle name="Normal 106 4" xfId="7487" xr:uid="{00000000-0005-0000-0000-0000FE1C0000}"/>
    <cellStyle name="Normal 106 4 2" xfId="7488" xr:uid="{00000000-0005-0000-0000-0000FF1C0000}"/>
    <cellStyle name="Normal 106 5" xfId="7489" xr:uid="{00000000-0005-0000-0000-0000001D0000}"/>
    <cellStyle name="Normal 106 5 2" xfId="7490" xr:uid="{00000000-0005-0000-0000-0000011D0000}"/>
    <cellStyle name="Normal 106 5 2 2" xfId="7491" xr:uid="{00000000-0005-0000-0000-0000021D0000}"/>
    <cellStyle name="Normal 106 6" xfId="7492" xr:uid="{00000000-0005-0000-0000-0000031D0000}"/>
    <cellStyle name="Normal 106 7" xfId="7493" xr:uid="{00000000-0005-0000-0000-0000041D0000}"/>
    <cellStyle name="Normal 107" xfId="7494" xr:uid="{00000000-0005-0000-0000-0000051D0000}"/>
    <cellStyle name="Normal 107 2" xfId="7495" xr:uid="{00000000-0005-0000-0000-0000061D0000}"/>
    <cellStyle name="Normal 107 2 2" xfId="7496" xr:uid="{00000000-0005-0000-0000-0000071D0000}"/>
    <cellStyle name="Normal 107 3" xfId="7497" xr:uid="{00000000-0005-0000-0000-0000081D0000}"/>
    <cellStyle name="Normal 107 3 2" xfId="7498" xr:uid="{00000000-0005-0000-0000-0000091D0000}"/>
    <cellStyle name="Normal 107 4" xfId="7499" xr:uid="{00000000-0005-0000-0000-00000A1D0000}"/>
    <cellStyle name="Normal 108" xfId="7500" xr:uid="{00000000-0005-0000-0000-00000B1D0000}"/>
    <cellStyle name="Normal 109" xfId="7501" xr:uid="{00000000-0005-0000-0000-00000C1D0000}"/>
    <cellStyle name="Normal 109 2" xfId="7502" xr:uid="{00000000-0005-0000-0000-00000D1D0000}"/>
    <cellStyle name="Normal 109 2 2" xfId="7503" xr:uid="{00000000-0005-0000-0000-00000E1D0000}"/>
    <cellStyle name="Normal 109 2 3" xfId="7504" xr:uid="{00000000-0005-0000-0000-00000F1D0000}"/>
    <cellStyle name="Normal 109 2 4" xfId="7505" xr:uid="{00000000-0005-0000-0000-0000101D0000}"/>
    <cellStyle name="Normal 109 3" xfId="7506" xr:uid="{00000000-0005-0000-0000-0000111D0000}"/>
    <cellStyle name="Normal 109 3 2" xfId="7507" xr:uid="{00000000-0005-0000-0000-0000121D0000}"/>
    <cellStyle name="Normal 109 3 3" xfId="7508" xr:uid="{00000000-0005-0000-0000-0000131D0000}"/>
    <cellStyle name="Normal 109 4" xfId="7509" xr:uid="{00000000-0005-0000-0000-0000141D0000}"/>
    <cellStyle name="Normal 109 4 2" xfId="7510" xr:uid="{00000000-0005-0000-0000-0000151D0000}"/>
    <cellStyle name="Normal 109 5" xfId="7511" xr:uid="{00000000-0005-0000-0000-0000161D0000}"/>
    <cellStyle name="Normal 11" xfId="189" xr:uid="{00000000-0005-0000-0000-0000171D0000}"/>
    <cellStyle name="Normal 11 2" xfId="7512" xr:uid="{00000000-0005-0000-0000-0000181D0000}"/>
    <cellStyle name="Normal 11 2 2" xfId="7513" xr:uid="{00000000-0005-0000-0000-0000191D0000}"/>
    <cellStyle name="Normal 11 2 2 2" xfId="7514" xr:uid="{00000000-0005-0000-0000-00001A1D0000}"/>
    <cellStyle name="Normal 11 2 2 2 2" xfId="7515" xr:uid="{00000000-0005-0000-0000-00001B1D0000}"/>
    <cellStyle name="Normal 11 2 2 2 2 2" xfId="7516" xr:uid="{00000000-0005-0000-0000-00001C1D0000}"/>
    <cellStyle name="Normal 11 2 2 2 2 2 2" xfId="7517" xr:uid="{00000000-0005-0000-0000-00001D1D0000}"/>
    <cellStyle name="Normal 11 2 2 2 2 3" xfId="7518" xr:uid="{00000000-0005-0000-0000-00001E1D0000}"/>
    <cellStyle name="Normal 11 2 2 2 2 3 2" xfId="7519" xr:uid="{00000000-0005-0000-0000-00001F1D0000}"/>
    <cellStyle name="Normal 11 2 2 2 2 4" xfId="7520" xr:uid="{00000000-0005-0000-0000-0000201D0000}"/>
    <cellStyle name="Normal 11 2 2 2 3" xfId="7521" xr:uid="{00000000-0005-0000-0000-0000211D0000}"/>
    <cellStyle name="Normal 11 2 2 2 3 2" xfId="7522" xr:uid="{00000000-0005-0000-0000-0000221D0000}"/>
    <cellStyle name="Normal 11 2 2 2 3 2 2" xfId="7523" xr:uid="{00000000-0005-0000-0000-0000231D0000}"/>
    <cellStyle name="Normal 11 2 2 2 3 3" xfId="7524" xr:uid="{00000000-0005-0000-0000-0000241D0000}"/>
    <cellStyle name="Normal 11 2 2 2 4" xfId="7525" xr:uid="{00000000-0005-0000-0000-0000251D0000}"/>
    <cellStyle name="Normal 11 2 2 2 4 2" xfId="7526" xr:uid="{00000000-0005-0000-0000-0000261D0000}"/>
    <cellStyle name="Normal 11 2 2 2 5" xfId="7527" xr:uid="{00000000-0005-0000-0000-0000271D0000}"/>
    <cellStyle name="Normal 11 2 2 2 5 2" xfId="7528" xr:uid="{00000000-0005-0000-0000-0000281D0000}"/>
    <cellStyle name="Normal 11 2 2 2 6" xfId="7529" xr:uid="{00000000-0005-0000-0000-0000291D0000}"/>
    <cellStyle name="Normal 11 2 2 3" xfId="7530" xr:uid="{00000000-0005-0000-0000-00002A1D0000}"/>
    <cellStyle name="Normal 11 2 2 3 2" xfId="7531" xr:uid="{00000000-0005-0000-0000-00002B1D0000}"/>
    <cellStyle name="Normal 11 2 2 3 2 2" xfId="7532" xr:uid="{00000000-0005-0000-0000-00002C1D0000}"/>
    <cellStyle name="Normal 11 2 2 3 3" xfId="7533" xr:uid="{00000000-0005-0000-0000-00002D1D0000}"/>
    <cellStyle name="Normal 11 2 2 3 3 2" xfId="7534" xr:uid="{00000000-0005-0000-0000-00002E1D0000}"/>
    <cellStyle name="Normal 11 2 2 3 4" xfId="7535" xr:uid="{00000000-0005-0000-0000-00002F1D0000}"/>
    <cellStyle name="Normal 11 2 2 4" xfId="7536" xr:uid="{00000000-0005-0000-0000-0000301D0000}"/>
    <cellStyle name="Normal 11 2 2 4 2" xfId="7537" xr:uid="{00000000-0005-0000-0000-0000311D0000}"/>
    <cellStyle name="Normal 11 2 2 4 2 2" xfId="7538" xr:uid="{00000000-0005-0000-0000-0000321D0000}"/>
    <cellStyle name="Normal 11 2 2 4 3" xfId="7539" xr:uid="{00000000-0005-0000-0000-0000331D0000}"/>
    <cellStyle name="Normal 11 2 2 5" xfId="7540" xr:uid="{00000000-0005-0000-0000-0000341D0000}"/>
    <cellStyle name="Normal 11 2 2 5 2" xfId="7541" xr:uid="{00000000-0005-0000-0000-0000351D0000}"/>
    <cellStyle name="Normal 11 2 2 6" xfId="7542" xr:uid="{00000000-0005-0000-0000-0000361D0000}"/>
    <cellStyle name="Normal 11 2 2 6 2" xfId="7543" xr:uid="{00000000-0005-0000-0000-0000371D0000}"/>
    <cellStyle name="Normal 11 2 2 7" xfId="7544" xr:uid="{00000000-0005-0000-0000-0000381D0000}"/>
    <cellStyle name="Normal 11 2 3" xfId="7545" xr:uid="{00000000-0005-0000-0000-0000391D0000}"/>
    <cellStyle name="Normal 11 2 3 2" xfId="7546" xr:uid="{00000000-0005-0000-0000-00003A1D0000}"/>
    <cellStyle name="Normal 11 2 3 2 2" xfId="7547" xr:uid="{00000000-0005-0000-0000-00003B1D0000}"/>
    <cellStyle name="Normal 11 2 3 2 2 2" xfId="7548" xr:uid="{00000000-0005-0000-0000-00003C1D0000}"/>
    <cellStyle name="Normal 11 2 3 2 2 2 2" xfId="7549" xr:uid="{00000000-0005-0000-0000-00003D1D0000}"/>
    <cellStyle name="Normal 11 2 3 2 2 3" xfId="7550" xr:uid="{00000000-0005-0000-0000-00003E1D0000}"/>
    <cellStyle name="Normal 11 2 3 2 2 3 2" xfId="7551" xr:uid="{00000000-0005-0000-0000-00003F1D0000}"/>
    <cellStyle name="Normal 11 2 3 2 2 4" xfId="7552" xr:uid="{00000000-0005-0000-0000-0000401D0000}"/>
    <cellStyle name="Normal 11 2 3 2 3" xfId="7553" xr:uid="{00000000-0005-0000-0000-0000411D0000}"/>
    <cellStyle name="Normal 11 2 3 2 3 2" xfId="7554" xr:uid="{00000000-0005-0000-0000-0000421D0000}"/>
    <cellStyle name="Normal 11 2 3 2 3 2 2" xfId="7555" xr:uid="{00000000-0005-0000-0000-0000431D0000}"/>
    <cellStyle name="Normal 11 2 3 2 3 3" xfId="7556" xr:uid="{00000000-0005-0000-0000-0000441D0000}"/>
    <cellStyle name="Normal 11 2 3 2 4" xfId="7557" xr:uid="{00000000-0005-0000-0000-0000451D0000}"/>
    <cellStyle name="Normal 11 2 3 2 4 2" xfId="7558" xr:uid="{00000000-0005-0000-0000-0000461D0000}"/>
    <cellStyle name="Normal 11 2 3 2 5" xfId="7559" xr:uid="{00000000-0005-0000-0000-0000471D0000}"/>
    <cellStyle name="Normal 11 2 3 2 5 2" xfId="7560" xr:uid="{00000000-0005-0000-0000-0000481D0000}"/>
    <cellStyle name="Normal 11 2 3 2 6" xfId="7561" xr:uid="{00000000-0005-0000-0000-0000491D0000}"/>
    <cellStyle name="Normal 11 2 3 3" xfId="7562" xr:uid="{00000000-0005-0000-0000-00004A1D0000}"/>
    <cellStyle name="Normal 11 2 3 3 2" xfId="7563" xr:uid="{00000000-0005-0000-0000-00004B1D0000}"/>
    <cellStyle name="Normal 11 2 3 3 2 2" xfId="7564" xr:uid="{00000000-0005-0000-0000-00004C1D0000}"/>
    <cellStyle name="Normal 11 2 3 3 3" xfId="7565" xr:uid="{00000000-0005-0000-0000-00004D1D0000}"/>
    <cellStyle name="Normal 11 2 3 3 3 2" xfId="7566" xr:uid="{00000000-0005-0000-0000-00004E1D0000}"/>
    <cellStyle name="Normal 11 2 3 3 4" xfId="7567" xr:uid="{00000000-0005-0000-0000-00004F1D0000}"/>
    <cellStyle name="Normal 11 2 3 4" xfId="7568" xr:uid="{00000000-0005-0000-0000-0000501D0000}"/>
    <cellStyle name="Normal 11 2 3 4 2" xfId="7569" xr:uid="{00000000-0005-0000-0000-0000511D0000}"/>
    <cellStyle name="Normal 11 2 3 4 2 2" xfId="7570" xr:uid="{00000000-0005-0000-0000-0000521D0000}"/>
    <cellStyle name="Normal 11 2 3 4 3" xfId="7571" xr:uid="{00000000-0005-0000-0000-0000531D0000}"/>
    <cellStyle name="Normal 11 2 3 5" xfId="7572" xr:uid="{00000000-0005-0000-0000-0000541D0000}"/>
    <cellStyle name="Normal 11 2 3 5 2" xfId="7573" xr:uid="{00000000-0005-0000-0000-0000551D0000}"/>
    <cellStyle name="Normal 11 2 3 6" xfId="7574" xr:uid="{00000000-0005-0000-0000-0000561D0000}"/>
    <cellStyle name="Normal 11 2 3 6 2" xfId="7575" xr:uid="{00000000-0005-0000-0000-0000571D0000}"/>
    <cellStyle name="Normal 11 2 3 7" xfId="7576" xr:uid="{00000000-0005-0000-0000-0000581D0000}"/>
    <cellStyle name="Normal 11 2 4" xfId="7577" xr:uid="{00000000-0005-0000-0000-0000591D0000}"/>
    <cellStyle name="Normal 11 2 4 2" xfId="7578" xr:uid="{00000000-0005-0000-0000-00005A1D0000}"/>
    <cellStyle name="Normal 11 2 4 2 2" xfId="7579" xr:uid="{00000000-0005-0000-0000-00005B1D0000}"/>
    <cellStyle name="Normal 11 2 4 2 2 2" xfId="7580" xr:uid="{00000000-0005-0000-0000-00005C1D0000}"/>
    <cellStyle name="Normal 11 2 4 2 3" xfId="7581" xr:uid="{00000000-0005-0000-0000-00005D1D0000}"/>
    <cellStyle name="Normal 11 2 4 2 4" xfId="7582" xr:uid="{00000000-0005-0000-0000-00005E1D0000}"/>
    <cellStyle name="Normal 11 2 4 2 5" xfId="7583" xr:uid="{00000000-0005-0000-0000-00005F1D0000}"/>
    <cellStyle name="Normal 11 2 4 3" xfId="7584" xr:uid="{00000000-0005-0000-0000-0000601D0000}"/>
    <cellStyle name="Normal 11 2 4 3 2" xfId="7585" xr:uid="{00000000-0005-0000-0000-0000611D0000}"/>
    <cellStyle name="Normal 11 2 4 3 2 2" xfId="7586" xr:uid="{00000000-0005-0000-0000-0000621D0000}"/>
    <cellStyle name="Normal 11 2 4 3 3" xfId="7587" xr:uid="{00000000-0005-0000-0000-0000631D0000}"/>
    <cellStyle name="Normal 11 2 4 4" xfId="7588" xr:uid="{00000000-0005-0000-0000-0000641D0000}"/>
    <cellStyle name="Normal 11 2 4 4 2" xfId="7589" xr:uid="{00000000-0005-0000-0000-0000651D0000}"/>
    <cellStyle name="Normal 11 2 4 5" xfId="7590" xr:uid="{00000000-0005-0000-0000-0000661D0000}"/>
    <cellStyle name="Normal 11 2 4 6" xfId="7591" xr:uid="{00000000-0005-0000-0000-0000671D0000}"/>
    <cellStyle name="Normal 11 2 4 6 2" xfId="7592" xr:uid="{00000000-0005-0000-0000-0000681D0000}"/>
    <cellStyle name="Normal 11 2 5" xfId="7593" xr:uid="{00000000-0005-0000-0000-0000691D0000}"/>
    <cellStyle name="Normal 11 2 5 2" xfId="7594" xr:uid="{00000000-0005-0000-0000-00006A1D0000}"/>
    <cellStyle name="Normal 11 2 5 2 2" xfId="7595" xr:uid="{00000000-0005-0000-0000-00006B1D0000}"/>
    <cellStyle name="Normal 11 2 5 3" xfId="7596" xr:uid="{00000000-0005-0000-0000-00006C1D0000}"/>
    <cellStyle name="Normal 11 2 5 3 2" xfId="7597" xr:uid="{00000000-0005-0000-0000-00006D1D0000}"/>
    <cellStyle name="Normal 11 2 5 4" xfId="7598" xr:uid="{00000000-0005-0000-0000-00006E1D0000}"/>
    <cellStyle name="Normal 11 2 6" xfId="7599" xr:uid="{00000000-0005-0000-0000-00006F1D0000}"/>
    <cellStyle name="Normal 11 2 6 2" xfId="7600" xr:uid="{00000000-0005-0000-0000-0000701D0000}"/>
    <cellStyle name="Normal 11 2 6 2 2" xfId="7601" xr:uid="{00000000-0005-0000-0000-0000711D0000}"/>
    <cellStyle name="Normal 11 2 6 3" xfId="7602" xr:uid="{00000000-0005-0000-0000-0000721D0000}"/>
    <cellStyle name="Normal 11 2 7" xfId="7603" xr:uid="{00000000-0005-0000-0000-0000731D0000}"/>
    <cellStyle name="Normal 11 2 7 2" xfId="7604" xr:uid="{00000000-0005-0000-0000-0000741D0000}"/>
    <cellStyle name="Normal 11 2 8" xfId="7605" xr:uid="{00000000-0005-0000-0000-0000751D0000}"/>
    <cellStyle name="Normal 11 2 8 2" xfId="7606" xr:uid="{00000000-0005-0000-0000-0000761D0000}"/>
    <cellStyle name="Normal 11 2 9" xfId="7607" xr:uid="{00000000-0005-0000-0000-0000771D0000}"/>
    <cellStyle name="Normal 11 3" xfId="7608" xr:uid="{00000000-0005-0000-0000-0000781D0000}"/>
    <cellStyle name="Normal 11 3 2" xfId="7609" xr:uid="{00000000-0005-0000-0000-0000791D0000}"/>
    <cellStyle name="Normal 11 3 2 2" xfId="7610" xr:uid="{00000000-0005-0000-0000-00007A1D0000}"/>
    <cellStyle name="Normal 11 3 2 2 2" xfId="7611" xr:uid="{00000000-0005-0000-0000-00007B1D0000}"/>
    <cellStyle name="Normal 11 3 2 2 2 2" xfId="7612" xr:uid="{00000000-0005-0000-0000-00007C1D0000}"/>
    <cellStyle name="Normal 11 3 2 2 3" xfId="7613" xr:uid="{00000000-0005-0000-0000-00007D1D0000}"/>
    <cellStyle name="Normal 11 3 2 2 3 2" xfId="7614" xr:uid="{00000000-0005-0000-0000-00007E1D0000}"/>
    <cellStyle name="Normal 11 3 2 2 4" xfId="7615" xr:uid="{00000000-0005-0000-0000-00007F1D0000}"/>
    <cellStyle name="Normal 11 3 2 3" xfId="7616" xr:uid="{00000000-0005-0000-0000-0000801D0000}"/>
    <cellStyle name="Normal 11 3 2 3 2" xfId="7617" xr:uid="{00000000-0005-0000-0000-0000811D0000}"/>
    <cellStyle name="Normal 11 3 2 3 2 2" xfId="7618" xr:uid="{00000000-0005-0000-0000-0000821D0000}"/>
    <cellStyle name="Normal 11 3 2 3 3" xfId="7619" xr:uid="{00000000-0005-0000-0000-0000831D0000}"/>
    <cellStyle name="Normal 11 3 2 4" xfId="7620" xr:uid="{00000000-0005-0000-0000-0000841D0000}"/>
    <cellStyle name="Normal 11 3 2 4 2" xfId="7621" xr:uid="{00000000-0005-0000-0000-0000851D0000}"/>
    <cellStyle name="Normal 11 3 2 5" xfId="7622" xr:uid="{00000000-0005-0000-0000-0000861D0000}"/>
    <cellStyle name="Normal 11 3 2 5 2" xfId="7623" xr:uid="{00000000-0005-0000-0000-0000871D0000}"/>
    <cellStyle name="Normal 11 3 2 6" xfId="7624" xr:uid="{00000000-0005-0000-0000-0000881D0000}"/>
    <cellStyle name="Normal 11 3 3" xfId="7625" xr:uid="{00000000-0005-0000-0000-0000891D0000}"/>
    <cellStyle name="Normal 11 3 3 2" xfId="7626" xr:uid="{00000000-0005-0000-0000-00008A1D0000}"/>
    <cellStyle name="Normal 11 3 3 2 2" xfId="7627" xr:uid="{00000000-0005-0000-0000-00008B1D0000}"/>
    <cellStyle name="Normal 11 3 3 3" xfId="7628" xr:uid="{00000000-0005-0000-0000-00008C1D0000}"/>
    <cellStyle name="Normal 11 3 3 3 2" xfId="7629" xr:uid="{00000000-0005-0000-0000-00008D1D0000}"/>
    <cellStyle name="Normal 11 3 3 4" xfId="7630" xr:uid="{00000000-0005-0000-0000-00008E1D0000}"/>
    <cellStyle name="Normal 11 3 4" xfId="7631" xr:uid="{00000000-0005-0000-0000-00008F1D0000}"/>
    <cellStyle name="Normal 11 3 4 2" xfId="7632" xr:uid="{00000000-0005-0000-0000-0000901D0000}"/>
    <cellStyle name="Normal 11 3 4 2 2" xfId="7633" xr:uid="{00000000-0005-0000-0000-0000911D0000}"/>
    <cellStyle name="Normal 11 3 4 3" xfId="7634" xr:uid="{00000000-0005-0000-0000-0000921D0000}"/>
    <cellStyle name="Normal 11 3 5" xfId="7635" xr:uid="{00000000-0005-0000-0000-0000931D0000}"/>
    <cellStyle name="Normal 11 3 5 2" xfId="7636" xr:uid="{00000000-0005-0000-0000-0000941D0000}"/>
    <cellStyle name="Normal 11 3 6" xfId="7637" xr:uid="{00000000-0005-0000-0000-0000951D0000}"/>
    <cellStyle name="Normal 11 3 6 2" xfId="7638" xr:uid="{00000000-0005-0000-0000-0000961D0000}"/>
    <cellStyle name="Normal 11 3 7" xfId="7639" xr:uid="{00000000-0005-0000-0000-0000971D0000}"/>
    <cellStyle name="Normal 11 4" xfId="7640" xr:uid="{00000000-0005-0000-0000-0000981D0000}"/>
    <cellStyle name="Normal 11 4 2" xfId="7641" xr:uid="{00000000-0005-0000-0000-0000991D0000}"/>
    <cellStyle name="Normal 11 4 2 2" xfId="7642" xr:uid="{00000000-0005-0000-0000-00009A1D0000}"/>
    <cellStyle name="Normal 11 4 2 2 2" xfId="7643" xr:uid="{00000000-0005-0000-0000-00009B1D0000}"/>
    <cellStyle name="Normal 11 4 2 2 2 2" xfId="7644" xr:uid="{00000000-0005-0000-0000-00009C1D0000}"/>
    <cellStyle name="Normal 11 4 2 2 3" xfId="7645" xr:uid="{00000000-0005-0000-0000-00009D1D0000}"/>
    <cellStyle name="Normal 11 4 2 2 3 2" xfId="7646" xr:uid="{00000000-0005-0000-0000-00009E1D0000}"/>
    <cellStyle name="Normal 11 4 2 2 4" xfId="7647" xr:uid="{00000000-0005-0000-0000-00009F1D0000}"/>
    <cellStyle name="Normal 11 4 2 3" xfId="7648" xr:uid="{00000000-0005-0000-0000-0000A01D0000}"/>
    <cellStyle name="Normal 11 4 2 3 2" xfId="7649" xr:uid="{00000000-0005-0000-0000-0000A11D0000}"/>
    <cellStyle name="Normal 11 4 2 3 2 2" xfId="7650" xr:uid="{00000000-0005-0000-0000-0000A21D0000}"/>
    <cellStyle name="Normal 11 4 2 3 3" xfId="7651" xr:uid="{00000000-0005-0000-0000-0000A31D0000}"/>
    <cellStyle name="Normal 11 4 2 4" xfId="7652" xr:uid="{00000000-0005-0000-0000-0000A41D0000}"/>
    <cellStyle name="Normal 11 4 2 4 2" xfId="7653" xr:uid="{00000000-0005-0000-0000-0000A51D0000}"/>
    <cellStyle name="Normal 11 4 2 5" xfId="7654" xr:uid="{00000000-0005-0000-0000-0000A61D0000}"/>
    <cellStyle name="Normal 11 4 2 5 2" xfId="7655" xr:uid="{00000000-0005-0000-0000-0000A71D0000}"/>
    <cellStyle name="Normal 11 4 2 6" xfId="7656" xr:uid="{00000000-0005-0000-0000-0000A81D0000}"/>
    <cellStyle name="Normal 11 4 3" xfId="7657" xr:uid="{00000000-0005-0000-0000-0000A91D0000}"/>
    <cellStyle name="Normal 11 4 3 2" xfId="7658" xr:uid="{00000000-0005-0000-0000-0000AA1D0000}"/>
    <cellStyle name="Normal 11 4 3 2 2" xfId="7659" xr:uid="{00000000-0005-0000-0000-0000AB1D0000}"/>
    <cellStyle name="Normal 11 4 3 3" xfId="7660" xr:uid="{00000000-0005-0000-0000-0000AC1D0000}"/>
    <cellStyle name="Normal 11 4 3 3 2" xfId="7661" xr:uid="{00000000-0005-0000-0000-0000AD1D0000}"/>
    <cellStyle name="Normal 11 4 3 4" xfId="7662" xr:uid="{00000000-0005-0000-0000-0000AE1D0000}"/>
    <cellStyle name="Normal 11 4 4" xfId="7663" xr:uid="{00000000-0005-0000-0000-0000AF1D0000}"/>
    <cellStyle name="Normal 11 4 4 2" xfId="7664" xr:uid="{00000000-0005-0000-0000-0000B01D0000}"/>
    <cellStyle name="Normal 11 4 4 2 2" xfId="7665" xr:uid="{00000000-0005-0000-0000-0000B11D0000}"/>
    <cellStyle name="Normal 11 4 4 3" xfId="7666" xr:uid="{00000000-0005-0000-0000-0000B21D0000}"/>
    <cellStyle name="Normal 11 4 5" xfId="7667" xr:uid="{00000000-0005-0000-0000-0000B31D0000}"/>
    <cellStyle name="Normal 11 4 5 2" xfId="7668" xr:uid="{00000000-0005-0000-0000-0000B41D0000}"/>
    <cellStyle name="Normal 11 4 6" xfId="7669" xr:uid="{00000000-0005-0000-0000-0000B51D0000}"/>
    <cellStyle name="Normal 11 4 6 2" xfId="7670" xr:uid="{00000000-0005-0000-0000-0000B61D0000}"/>
    <cellStyle name="Normal 11 4 7" xfId="7671" xr:uid="{00000000-0005-0000-0000-0000B71D0000}"/>
    <cellStyle name="Normal 11 5" xfId="7672" xr:uid="{00000000-0005-0000-0000-0000B81D0000}"/>
    <cellStyle name="Normal 11 5 2" xfId="7673" xr:uid="{00000000-0005-0000-0000-0000B91D0000}"/>
    <cellStyle name="Normal 11 5 2 2" xfId="7674" xr:uid="{00000000-0005-0000-0000-0000BA1D0000}"/>
    <cellStyle name="Normal 11 5 3" xfId="7675" xr:uid="{00000000-0005-0000-0000-0000BB1D0000}"/>
    <cellStyle name="Normal 11 6" xfId="7676" xr:uid="{00000000-0005-0000-0000-0000BC1D0000}"/>
    <cellStyle name="Normal 110" xfId="7677" xr:uid="{00000000-0005-0000-0000-0000BD1D0000}"/>
    <cellStyle name="Normal 110 2" xfId="7678" xr:uid="{00000000-0005-0000-0000-0000BE1D0000}"/>
    <cellStyle name="Normal 110 2 2" xfId="7679" xr:uid="{00000000-0005-0000-0000-0000BF1D0000}"/>
    <cellStyle name="Normal 110 2 2 2" xfId="7680" xr:uid="{00000000-0005-0000-0000-0000C01D0000}"/>
    <cellStyle name="Normal 110 2 3" xfId="7681" xr:uid="{00000000-0005-0000-0000-0000C11D0000}"/>
    <cellStyle name="Normal 110 3" xfId="7682" xr:uid="{00000000-0005-0000-0000-0000C21D0000}"/>
    <cellStyle name="Normal 110 3 2" xfId="7683" xr:uid="{00000000-0005-0000-0000-0000C31D0000}"/>
    <cellStyle name="Normal 110 3 3" xfId="7684" xr:uid="{00000000-0005-0000-0000-0000C41D0000}"/>
    <cellStyle name="Normal 110 4" xfId="7685" xr:uid="{00000000-0005-0000-0000-0000C51D0000}"/>
    <cellStyle name="Normal 111" xfId="7686" xr:uid="{00000000-0005-0000-0000-0000C61D0000}"/>
    <cellStyle name="Normal 111 2" xfId="7687" xr:uid="{00000000-0005-0000-0000-0000C71D0000}"/>
    <cellStyle name="Normal 111 2 2" xfId="7688" xr:uid="{00000000-0005-0000-0000-0000C81D0000}"/>
    <cellStyle name="Normal 111 3" xfId="7689" xr:uid="{00000000-0005-0000-0000-0000C91D0000}"/>
    <cellStyle name="Normal 112" xfId="7690" xr:uid="{00000000-0005-0000-0000-0000CA1D0000}"/>
    <cellStyle name="Normal 112 2" xfId="7691" xr:uid="{00000000-0005-0000-0000-0000CB1D0000}"/>
    <cellStyle name="Normal 112 2 2" xfId="7692" xr:uid="{00000000-0005-0000-0000-0000CC1D0000}"/>
    <cellStyle name="Normal 112 2 2 2" xfId="7693" xr:uid="{00000000-0005-0000-0000-0000CD1D0000}"/>
    <cellStyle name="Normal 112 3" xfId="7694" xr:uid="{00000000-0005-0000-0000-0000CE1D0000}"/>
    <cellStyle name="Normal 112 3 2" xfId="7695" xr:uid="{00000000-0005-0000-0000-0000CF1D0000}"/>
    <cellStyle name="Normal 113" xfId="7696" xr:uid="{00000000-0005-0000-0000-0000D01D0000}"/>
    <cellStyle name="Normal 113 2" xfId="7697" xr:uid="{00000000-0005-0000-0000-0000D11D0000}"/>
    <cellStyle name="Normal 113 2 2" xfId="7698" xr:uid="{00000000-0005-0000-0000-0000D21D0000}"/>
    <cellStyle name="Normal 113 3" xfId="7699" xr:uid="{00000000-0005-0000-0000-0000D31D0000}"/>
    <cellStyle name="Normal 113 3 2" xfId="7700" xr:uid="{00000000-0005-0000-0000-0000D41D0000}"/>
    <cellStyle name="Normal 114" xfId="7701" xr:uid="{00000000-0005-0000-0000-0000D51D0000}"/>
    <cellStyle name="Normal 114 2" xfId="7702" xr:uid="{00000000-0005-0000-0000-0000D61D0000}"/>
    <cellStyle name="Normal 114 2 2" xfId="7703" xr:uid="{00000000-0005-0000-0000-0000D71D0000}"/>
    <cellStyle name="Normal 115" xfId="7704" xr:uid="{00000000-0005-0000-0000-0000D81D0000}"/>
    <cellStyle name="Normal 115 2" xfId="7705" xr:uid="{00000000-0005-0000-0000-0000D91D0000}"/>
    <cellStyle name="Normal 115 2 2" xfId="7706" xr:uid="{00000000-0005-0000-0000-0000DA1D0000}"/>
    <cellStyle name="Normal 116" xfId="7707" xr:uid="{00000000-0005-0000-0000-0000DB1D0000}"/>
    <cellStyle name="Normal 117" xfId="7708" xr:uid="{00000000-0005-0000-0000-0000DC1D0000}"/>
    <cellStyle name="Normal 118" xfId="7709" xr:uid="{00000000-0005-0000-0000-0000DD1D0000}"/>
    <cellStyle name="Normal 119" xfId="7710" xr:uid="{00000000-0005-0000-0000-0000DE1D0000}"/>
    <cellStyle name="Normal 12" xfId="190" xr:uid="{00000000-0005-0000-0000-0000DF1D0000}"/>
    <cellStyle name="Normal 12 2" xfId="7711" xr:uid="{00000000-0005-0000-0000-0000E01D0000}"/>
    <cellStyle name="Normal 12 2 2" xfId="7712" xr:uid="{00000000-0005-0000-0000-0000E11D0000}"/>
    <cellStyle name="Normal 12 2 2 2" xfId="7713" xr:uid="{00000000-0005-0000-0000-0000E21D0000}"/>
    <cellStyle name="Normal 12 2 2 2 2" xfId="7714" xr:uid="{00000000-0005-0000-0000-0000E31D0000}"/>
    <cellStyle name="Normal 12 2 2 2 2 2" xfId="7715" xr:uid="{00000000-0005-0000-0000-0000E41D0000}"/>
    <cellStyle name="Normal 12 2 2 2 2 2 2" xfId="7716" xr:uid="{00000000-0005-0000-0000-0000E51D0000}"/>
    <cellStyle name="Normal 12 2 2 2 2 3" xfId="7717" xr:uid="{00000000-0005-0000-0000-0000E61D0000}"/>
    <cellStyle name="Normal 12 2 2 2 2 3 2" xfId="7718" xr:uid="{00000000-0005-0000-0000-0000E71D0000}"/>
    <cellStyle name="Normal 12 2 2 2 2 4" xfId="7719" xr:uid="{00000000-0005-0000-0000-0000E81D0000}"/>
    <cellStyle name="Normal 12 2 2 2 3" xfId="7720" xr:uid="{00000000-0005-0000-0000-0000E91D0000}"/>
    <cellStyle name="Normal 12 2 2 2 3 2" xfId="7721" xr:uid="{00000000-0005-0000-0000-0000EA1D0000}"/>
    <cellStyle name="Normal 12 2 2 2 3 2 2" xfId="7722" xr:uid="{00000000-0005-0000-0000-0000EB1D0000}"/>
    <cellStyle name="Normal 12 2 2 2 3 3" xfId="7723" xr:uid="{00000000-0005-0000-0000-0000EC1D0000}"/>
    <cellStyle name="Normal 12 2 2 2 4" xfId="7724" xr:uid="{00000000-0005-0000-0000-0000ED1D0000}"/>
    <cellStyle name="Normal 12 2 2 2 4 2" xfId="7725" xr:uid="{00000000-0005-0000-0000-0000EE1D0000}"/>
    <cellStyle name="Normal 12 2 2 2 5" xfId="7726" xr:uid="{00000000-0005-0000-0000-0000EF1D0000}"/>
    <cellStyle name="Normal 12 2 2 2 5 2" xfId="7727" xr:uid="{00000000-0005-0000-0000-0000F01D0000}"/>
    <cellStyle name="Normal 12 2 2 2 6" xfId="7728" xr:uid="{00000000-0005-0000-0000-0000F11D0000}"/>
    <cellStyle name="Normal 12 2 2 3" xfId="7729" xr:uid="{00000000-0005-0000-0000-0000F21D0000}"/>
    <cellStyle name="Normal 12 2 2 3 2" xfId="7730" xr:uid="{00000000-0005-0000-0000-0000F31D0000}"/>
    <cellStyle name="Normal 12 2 2 3 2 2" xfId="7731" xr:uid="{00000000-0005-0000-0000-0000F41D0000}"/>
    <cellStyle name="Normal 12 2 2 3 3" xfId="7732" xr:uid="{00000000-0005-0000-0000-0000F51D0000}"/>
    <cellStyle name="Normal 12 2 2 3 3 2" xfId="7733" xr:uid="{00000000-0005-0000-0000-0000F61D0000}"/>
    <cellStyle name="Normal 12 2 2 3 4" xfId="7734" xr:uid="{00000000-0005-0000-0000-0000F71D0000}"/>
    <cellStyle name="Normal 12 2 2 4" xfId="7735" xr:uid="{00000000-0005-0000-0000-0000F81D0000}"/>
    <cellStyle name="Normal 12 2 2 4 2" xfId="7736" xr:uid="{00000000-0005-0000-0000-0000F91D0000}"/>
    <cellStyle name="Normal 12 2 2 4 2 2" xfId="7737" xr:uid="{00000000-0005-0000-0000-0000FA1D0000}"/>
    <cellStyle name="Normal 12 2 2 4 3" xfId="7738" xr:uid="{00000000-0005-0000-0000-0000FB1D0000}"/>
    <cellStyle name="Normal 12 2 2 5" xfId="7739" xr:uid="{00000000-0005-0000-0000-0000FC1D0000}"/>
    <cellStyle name="Normal 12 2 2 5 2" xfId="7740" xr:uid="{00000000-0005-0000-0000-0000FD1D0000}"/>
    <cellStyle name="Normal 12 2 2 6" xfId="7741" xr:uid="{00000000-0005-0000-0000-0000FE1D0000}"/>
    <cellStyle name="Normal 12 2 2 6 2" xfId="7742" xr:uid="{00000000-0005-0000-0000-0000FF1D0000}"/>
    <cellStyle name="Normal 12 2 2 7" xfId="7743" xr:uid="{00000000-0005-0000-0000-0000001E0000}"/>
    <cellStyle name="Normal 12 2 3" xfId="7744" xr:uid="{00000000-0005-0000-0000-0000011E0000}"/>
    <cellStyle name="Normal 12 2 3 2" xfId="7745" xr:uid="{00000000-0005-0000-0000-0000021E0000}"/>
    <cellStyle name="Normal 12 2 3 2 2" xfId="7746" xr:uid="{00000000-0005-0000-0000-0000031E0000}"/>
    <cellStyle name="Normal 12 2 3 2 2 2" xfId="7747" xr:uid="{00000000-0005-0000-0000-0000041E0000}"/>
    <cellStyle name="Normal 12 2 3 2 2 2 2" xfId="7748" xr:uid="{00000000-0005-0000-0000-0000051E0000}"/>
    <cellStyle name="Normal 12 2 3 2 2 3" xfId="7749" xr:uid="{00000000-0005-0000-0000-0000061E0000}"/>
    <cellStyle name="Normal 12 2 3 2 2 3 2" xfId="7750" xr:uid="{00000000-0005-0000-0000-0000071E0000}"/>
    <cellStyle name="Normal 12 2 3 2 2 4" xfId="7751" xr:uid="{00000000-0005-0000-0000-0000081E0000}"/>
    <cellStyle name="Normal 12 2 3 2 3" xfId="7752" xr:uid="{00000000-0005-0000-0000-0000091E0000}"/>
    <cellStyle name="Normal 12 2 3 2 3 2" xfId="7753" xr:uid="{00000000-0005-0000-0000-00000A1E0000}"/>
    <cellStyle name="Normal 12 2 3 2 3 2 2" xfId="7754" xr:uid="{00000000-0005-0000-0000-00000B1E0000}"/>
    <cellStyle name="Normal 12 2 3 2 3 3" xfId="7755" xr:uid="{00000000-0005-0000-0000-00000C1E0000}"/>
    <cellStyle name="Normal 12 2 3 2 4" xfId="7756" xr:uid="{00000000-0005-0000-0000-00000D1E0000}"/>
    <cellStyle name="Normal 12 2 3 2 4 2" xfId="7757" xr:uid="{00000000-0005-0000-0000-00000E1E0000}"/>
    <cellStyle name="Normal 12 2 3 2 5" xfId="7758" xr:uid="{00000000-0005-0000-0000-00000F1E0000}"/>
    <cellStyle name="Normal 12 2 3 2 5 2" xfId="7759" xr:uid="{00000000-0005-0000-0000-0000101E0000}"/>
    <cellStyle name="Normal 12 2 3 2 6" xfId="7760" xr:uid="{00000000-0005-0000-0000-0000111E0000}"/>
    <cellStyle name="Normal 12 2 3 3" xfId="7761" xr:uid="{00000000-0005-0000-0000-0000121E0000}"/>
    <cellStyle name="Normal 12 2 3 3 2" xfId="7762" xr:uid="{00000000-0005-0000-0000-0000131E0000}"/>
    <cellStyle name="Normal 12 2 3 3 2 2" xfId="7763" xr:uid="{00000000-0005-0000-0000-0000141E0000}"/>
    <cellStyle name="Normal 12 2 3 3 3" xfId="7764" xr:uid="{00000000-0005-0000-0000-0000151E0000}"/>
    <cellStyle name="Normal 12 2 3 3 3 2" xfId="7765" xr:uid="{00000000-0005-0000-0000-0000161E0000}"/>
    <cellStyle name="Normal 12 2 3 3 4" xfId="7766" xr:uid="{00000000-0005-0000-0000-0000171E0000}"/>
    <cellStyle name="Normal 12 2 3 4" xfId="7767" xr:uid="{00000000-0005-0000-0000-0000181E0000}"/>
    <cellStyle name="Normal 12 2 3 4 2" xfId="7768" xr:uid="{00000000-0005-0000-0000-0000191E0000}"/>
    <cellStyle name="Normal 12 2 3 4 2 2" xfId="7769" xr:uid="{00000000-0005-0000-0000-00001A1E0000}"/>
    <cellStyle name="Normal 12 2 3 4 3" xfId="7770" xr:uid="{00000000-0005-0000-0000-00001B1E0000}"/>
    <cellStyle name="Normal 12 2 3 5" xfId="7771" xr:uid="{00000000-0005-0000-0000-00001C1E0000}"/>
    <cellStyle name="Normal 12 2 3 5 2" xfId="7772" xr:uid="{00000000-0005-0000-0000-00001D1E0000}"/>
    <cellStyle name="Normal 12 2 3 6" xfId="7773" xr:uid="{00000000-0005-0000-0000-00001E1E0000}"/>
    <cellStyle name="Normal 12 2 3 6 2" xfId="7774" xr:uid="{00000000-0005-0000-0000-00001F1E0000}"/>
    <cellStyle name="Normal 12 2 3 7" xfId="7775" xr:uid="{00000000-0005-0000-0000-0000201E0000}"/>
    <cellStyle name="Normal 12 3" xfId="7776" xr:uid="{00000000-0005-0000-0000-0000211E0000}"/>
    <cellStyle name="Normal 12 3 2" xfId="7777" xr:uid="{00000000-0005-0000-0000-0000221E0000}"/>
    <cellStyle name="Normal 12 3 2 2" xfId="7778" xr:uid="{00000000-0005-0000-0000-0000231E0000}"/>
    <cellStyle name="Normal 12 3 2 2 2" xfId="7779" xr:uid="{00000000-0005-0000-0000-0000241E0000}"/>
    <cellStyle name="Normal 12 3 2 2 2 2" xfId="7780" xr:uid="{00000000-0005-0000-0000-0000251E0000}"/>
    <cellStyle name="Normal 12 3 2 2 3" xfId="7781" xr:uid="{00000000-0005-0000-0000-0000261E0000}"/>
    <cellStyle name="Normal 12 3 2 2 3 2" xfId="7782" xr:uid="{00000000-0005-0000-0000-0000271E0000}"/>
    <cellStyle name="Normal 12 3 2 2 4" xfId="7783" xr:uid="{00000000-0005-0000-0000-0000281E0000}"/>
    <cellStyle name="Normal 12 3 2 3" xfId="7784" xr:uid="{00000000-0005-0000-0000-0000291E0000}"/>
    <cellStyle name="Normal 12 3 2 3 2" xfId="7785" xr:uid="{00000000-0005-0000-0000-00002A1E0000}"/>
    <cellStyle name="Normal 12 3 2 3 2 2" xfId="7786" xr:uid="{00000000-0005-0000-0000-00002B1E0000}"/>
    <cellStyle name="Normal 12 3 2 3 3" xfId="7787" xr:uid="{00000000-0005-0000-0000-00002C1E0000}"/>
    <cellStyle name="Normal 12 3 2 4" xfId="7788" xr:uid="{00000000-0005-0000-0000-00002D1E0000}"/>
    <cellStyle name="Normal 12 3 2 4 2" xfId="7789" xr:uid="{00000000-0005-0000-0000-00002E1E0000}"/>
    <cellStyle name="Normal 12 3 2 5" xfId="7790" xr:uid="{00000000-0005-0000-0000-00002F1E0000}"/>
    <cellStyle name="Normal 12 3 2 5 2" xfId="7791" xr:uid="{00000000-0005-0000-0000-0000301E0000}"/>
    <cellStyle name="Normal 12 3 2 6" xfId="7792" xr:uid="{00000000-0005-0000-0000-0000311E0000}"/>
    <cellStyle name="Normal 12 3 3" xfId="7793" xr:uid="{00000000-0005-0000-0000-0000321E0000}"/>
    <cellStyle name="Normal 12 3 3 2" xfId="7794" xr:uid="{00000000-0005-0000-0000-0000331E0000}"/>
    <cellStyle name="Normal 12 3 3 2 2" xfId="7795" xr:uid="{00000000-0005-0000-0000-0000341E0000}"/>
    <cellStyle name="Normal 12 3 3 3" xfId="7796" xr:uid="{00000000-0005-0000-0000-0000351E0000}"/>
    <cellStyle name="Normal 12 3 3 3 2" xfId="7797" xr:uid="{00000000-0005-0000-0000-0000361E0000}"/>
    <cellStyle name="Normal 12 3 3 4" xfId="7798" xr:uid="{00000000-0005-0000-0000-0000371E0000}"/>
    <cellStyle name="Normal 12 3 4" xfId="7799" xr:uid="{00000000-0005-0000-0000-0000381E0000}"/>
    <cellStyle name="Normal 12 3 4 2" xfId="7800" xr:uid="{00000000-0005-0000-0000-0000391E0000}"/>
    <cellStyle name="Normal 12 3 4 2 2" xfId="7801" xr:uid="{00000000-0005-0000-0000-00003A1E0000}"/>
    <cellStyle name="Normal 12 3 4 3" xfId="7802" xr:uid="{00000000-0005-0000-0000-00003B1E0000}"/>
    <cellStyle name="Normal 12 3 5" xfId="7803" xr:uid="{00000000-0005-0000-0000-00003C1E0000}"/>
    <cellStyle name="Normal 12 3 5 2" xfId="7804" xr:uid="{00000000-0005-0000-0000-00003D1E0000}"/>
    <cellStyle name="Normal 12 3 6" xfId="7805" xr:uid="{00000000-0005-0000-0000-00003E1E0000}"/>
    <cellStyle name="Normal 12 3 6 2" xfId="7806" xr:uid="{00000000-0005-0000-0000-00003F1E0000}"/>
    <cellStyle name="Normal 12 3 7" xfId="7807" xr:uid="{00000000-0005-0000-0000-0000401E0000}"/>
    <cellStyle name="Normal 12 4" xfId="7808" xr:uid="{00000000-0005-0000-0000-0000411E0000}"/>
    <cellStyle name="Normal 12 4 2" xfId="7809" xr:uid="{00000000-0005-0000-0000-0000421E0000}"/>
    <cellStyle name="Normal 12 4 2 2" xfId="7810" xr:uid="{00000000-0005-0000-0000-0000431E0000}"/>
    <cellStyle name="Normal 12 4 2 2 2" xfId="7811" xr:uid="{00000000-0005-0000-0000-0000441E0000}"/>
    <cellStyle name="Normal 12 4 2 2 2 2" xfId="7812" xr:uid="{00000000-0005-0000-0000-0000451E0000}"/>
    <cellStyle name="Normal 12 4 2 2 3" xfId="7813" xr:uid="{00000000-0005-0000-0000-0000461E0000}"/>
    <cellStyle name="Normal 12 4 2 2 3 2" xfId="7814" xr:uid="{00000000-0005-0000-0000-0000471E0000}"/>
    <cellStyle name="Normal 12 4 2 2 4" xfId="7815" xr:uid="{00000000-0005-0000-0000-0000481E0000}"/>
    <cellStyle name="Normal 12 4 2 3" xfId="7816" xr:uid="{00000000-0005-0000-0000-0000491E0000}"/>
    <cellStyle name="Normal 12 4 2 3 2" xfId="7817" xr:uid="{00000000-0005-0000-0000-00004A1E0000}"/>
    <cellStyle name="Normal 12 4 2 3 2 2" xfId="7818" xr:uid="{00000000-0005-0000-0000-00004B1E0000}"/>
    <cellStyle name="Normal 12 4 2 3 3" xfId="7819" xr:uid="{00000000-0005-0000-0000-00004C1E0000}"/>
    <cellStyle name="Normal 12 4 2 4" xfId="7820" xr:uid="{00000000-0005-0000-0000-00004D1E0000}"/>
    <cellStyle name="Normal 12 4 2 4 2" xfId="7821" xr:uid="{00000000-0005-0000-0000-00004E1E0000}"/>
    <cellStyle name="Normal 12 4 2 5" xfId="7822" xr:uid="{00000000-0005-0000-0000-00004F1E0000}"/>
    <cellStyle name="Normal 12 4 2 5 2" xfId="7823" xr:uid="{00000000-0005-0000-0000-0000501E0000}"/>
    <cellStyle name="Normal 12 4 2 6" xfId="7824" xr:uid="{00000000-0005-0000-0000-0000511E0000}"/>
    <cellStyle name="Normal 12 4 3" xfId="7825" xr:uid="{00000000-0005-0000-0000-0000521E0000}"/>
    <cellStyle name="Normal 12 4 3 2" xfId="7826" xr:uid="{00000000-0005-0000-0000-0000531E0000}"/>
    <cellStyle name="Normal 12 4 3 2 2" xfId="7827" xr:uid="{00000000-0005-0000-0000-0000541E0000}"/>
    <cellStyle name="Normal 12 4 3 3" xfId="7828" xr:uid="{00000000-0005-0000-0000-0000551E0000}"/>
    <cellStyle name="Normal 12 4 3 3 2" xfId="7829" xr:uid="{00000000-0005-0000-0000-0000561E0000}"/>
    <cellStyle name="Normal 12 4 3 4" xfId="7830" xr:uid="{00000000-0005-0000-0000-0000571E0000}"/>
    <cellStyle name="Normal 12 4 4" xfId="7831" xr:uid="{00000000-0005-0000-0000-0000581E0000}"/>
    <cellStyle name="Normal 12 4 4 2" xfId="7832" xr:uid="{00000000-0005-0000-0000-0000591E0000}"/>
    <cellStyle name="Normal 12 4 4 2 2" xfId="7833" xr:uid="{00000000-0005-0000-0000-00005A1E0000}"/>
    <cellStyle name="Normal 12 4 4 3" xfId="7834" xr:uid="{00000000-0005-0000-0000-00005B1E0000}"/>
    <cellStyle name="Normal 12 4 5" xfId="7835" xr:uid="{00000000-0005-0000-0000-00005C1E0000}"/>
    <cellStyle name="Normal 12 4 5 2" xfId="7836" xr:uid="{00000000-0005-0000-0000-00005D1E0000}"/>
    <cellStyle name="Normal 12 4 6" xfId="7837" xr:uid="{00000000-0005-0000-0000-00005E1E0000}"/>
    <cellStyle name="Normal 12 4 6 2" xfId="7838" xr:uid="{00000000-0005-0000-0000-00005F1E0000}"/>
    <cellStyle name="Normal 12 4 7" xfId="7839" xr:uid="{00000000-0005-0000-0000-0000601E0000}"/>
    <cellStyle name="Normal 12 5" xfId="7840" xr:uid="{00000000-0005-0000-0000-0000611E0000}"/>
    <cellStyle name="Normal 12 5 2" xfId="7841" xr:uid="{00000000-0005-0000-0000-0000621E0000}"/>
    <cellStyle name="Normal 12 5 2 2" xfId="7842" xr:uid="{00000000-0005-0000-0000-0000631E0000}"/>
    <cellStyle name="Normal 12 5 3" xfId="7843" xr:uid="{00000000-0005-0000-0000-0000641E0000}"/>
    <cellStyle name="Normal 12 6" xfId="7844" xr:uid="{00000000-0005-0000-0000-0000651E0000}"/>
    <cellStyle name="Normal 120" xfId="7845" xr:uid="{00000000-0005-0000-0000-0000661E0000}"/>
    <cellStyle name="Normal 121" xfId="7846" xr:uid="{00000000-0005-0000-0000-0000671E0000}"/>
    <cellStyle name="Normal 122" xfId="7847" xr:uid="{00000000-0005-0000-0000-0000681E0000}"/>
    <cellStyle name="Normal 123" xfId="7848" xr:uid="{00000000-0005-0000-0000-0000691E0000}"/>
    <cellStyle name="Normal 124" xfId="7849" xr:uid="{00000000-0005-0000-0000-00006A1E0000}"/>
    <cellStyle name="Normal 125" xfId="7850" xr:uid="{00000000-0005-0000-0000-00006B1E0000}"/>
    <cellStyle name="Normal 126" xfId="7851" xr:uid="{00000000-0005-0000-0000-00006C1E0000}"/>
    <cellStyle name="Normal 127" xfId="7852" xr:uid="{00000000-0005-0000-0000-00006D1E0000}"/>
    <cellStyle name="Normal 128" xfId="7853" xr:uid="{00000000-0005-0000-0000-00006E1E0000}"/>
    <cellStyle name="Normal 129" xfId="7854" xr:uid="{00000000-0005-0000-0000-00006F1E0000}"/>
    <cellStyle name="Normal 13" xfId="191" xr:uid="{00000000-0005-0000-0000-0000701E0000}"/>
    <cellStyle name="Normal 13 2" xfId="7855" xr:uid="{00000000-0005-0000-0000-0000711E0000}"/>
    <cellStyle name="Normal 13 2 2" xfId="7856" xr:uid="{00000000-0005-0000-0000-0000721E0000}"/>
    <cellStyle name="Normal 13 2 2 2" xfId="7857" xr:uid="{00000000-0005-0000-0000-0000731E0000}"/>
    <cellStyle name="Normal 13 2 2 2 2" xfId="7858" xr:uid="{00000000-0005-0000-0000-0000741E0000}"/>
    <cellStyle name="Normal 13 2 2 2 2 2" xfId="7859" xr:uid="{00000000-0005-0000-0000-0000751E0000}"/>
    <cellStyle name="Normal 13 2 2 2 2 2 2" xfId="7860" xr:uid="{00000000-0005-0000-0000-0000761E0000}"/>
    <cellStyle name="Normal 13 2 2 2 2 3" xfId="7861" xr:uid="{00000000-0005-0000-0000-0000771E0000}"/>
    <cellStyle name="Normal 13 2 2 2 2 3 2" xfId="7862" xr:uid="{00000000-0005-0000-0000-0000781E0000}"/>
    <cellStyle name="Normal 13 2 2 2 2 4" xfId="7863" xr:uid="{00000000-0005-0000-0000-0000791E0000}"/>
    <cellStyle name="Normal 13 2 2 2 3" xfId="7864" xr:uid="{00000000-0005-0000-0000-00007A1E0000}"/>
    <cellStyle name="Normal 13 2 2 2 3 2" xfId="7865" xr:uid="{00000000-0005-0000-0000-00007B1E0000}"/>
    <cellStyle name="Normal 13 2 2 2 3 2 2" xfId="7866" xr:uid="{00000000-0005-0000-0000-00007C1E0000}"/>
    <cellStyle name="Normal 13 2 2 2 3 3" xfId="7867" xr:uid="{00000000-0005-0000-0000-00007D1E0000}"/>
    <cellStyle name="Normal 13 2 2 2 4" xfId="7868" xr:uid="{00000000-0005-0000-0000-00007E1E0000}"/>
    <cellStyle name="Normal 13 2 2 2 4 2" xfId="7869" xr:uid="{00000000-0005-0000-0000-00007F1E0000}"/>
    <cellStyle name="Normal 13 2 2 2 5" xfId="7870" xr:uid="{00000000-0005-0000-0000-0000801E0000}"/>
    <cellStyle name="Normal 13 2 2 2 5 2" xfId="7871" xr:uid="{00000000-0005-0000-0000-0000811E0000}"/>
    <cellStyle name="Normal 13 2 2 2 6" xfId="7872" xr:uid="{00000000-0005-0000-0000-0000821E0000}"/>
    <cellStyle name="Normal 13 2 2 3" xfId="7873" xr:uid="{00000000-0005-0000-0000-0000831E0000}"/>
    <cellStyle name="Normal 13 2 2 3 2" xfId="7874" xr:uid="{00000000-0005-0000-0000-0000841E0000}"/>
    <cellStyle name="Normal 13 2 2 3 2 2" xfId="7875" xr:uid="{00000000-0005-0000-0000-0000851E0000}"/>
    <cellStyle name="Normal 13 2 2 3 3" xfId="7876" xr:uid="{00000000-0005-0000-0000-0000861E0000}"/>
    <cellStyle name="Normal 13 2 2 3 3 2" xfId="7877" xr:uid="{00000000-0005-0000-0000-0000871E0000}"/>
    <cellStyle name="Normal 13 2 2 3 4" xfId="7878" xr:uid="{00000000-0005-0000-0000-0000881E0000}"/>
    <cellStyle name="Normal 13 2 2 4" xfId="7879" xr:uid="{00000000-0005-0000-0000-0000891E0000}"/>
    <cellStyle name="Normal 13 2 2 4 2" xfId="7880" xr:uid="{00000000-0005-0000-0000-00008A1E0000}"/>
    <cellStyle name="Normal 13 2 2 4 2 2" xfId="7881" xr:uid="{00000000-0005-0000-0000-00008B1E0000}"/>
    <cellStyle name="Normal 13 2 2 4 3" xfId="7882" xr:uid="{00000000-0005-0000-0000-00008C1E0000}"/>
    <cellStyle name="Normal 13 2 2 5" xfId="7883" xr:uid="{00000000-0005-0000-0000-00008D1E0000}"/>
    <cellStyle name="Normal 13 2 2 5 2" xfId="7884" xr:uid="{00000000-0005-0000-0000-00008E1E0000}"/>
    <cellStyle name="Normal 13 2 2 6" xfId="7885" xr:uid="{00000000-0005-0000-0000-00008F1E0000}"/>
    <cellStyle name="Normal 13 2 2 6 2" xfId="7886" xr:uid="{00000000-0005-0000-0000-0000901E0000}"/>
    <cellStyle name="Normal 13 2 2 7" xfId="7887" xr:uid="{00000000-0005-0000-0000-0000911E0000}"/>
    <cellStyle name="Normal 13 2 3" xfId="7888" xr:uid="{00000000-0005-0000-0000-0000921E0000}"/>
    <cellStyle name="Normal 13 2 3 2" xfId="7889" xr:uid="{00000000-0005-0000-0000-0000931E0000}"/>
    <cellStyle name="Normal 13 2 3 2 2" xfId="7890" xr:uid="{00000000-0005-0000-0000-0000941E0000}"/>
    <cellStyle name="Normal 13 2 3 2 2 2" xfId="7891" xr:uid="{00000000-0005-0000-0000-0000951E0000}"/>
    <cellStyle name="Normal 13 2 3 2 2 2 2" xfId="7892" xr:uid="{00000000-0005-0000-0000-0000961E0000}"/>
    <cellStyle name="Normal 13 2 3 2 2 3" xfId="7893" xr:uid="{00000000-0005-0000-0000-0000971E0000}"/>
    <cellStyle name="Normal 13 2 3 2 2 3 2" xfId="7894" xr:uid="{00000000-0005-0000-0000-0000981E0000}"/>
    <cellStyle name="Normal 13 2 3 2 2 4" xfId="7895" xr:uid="{00000000-0005-0000-0000-0000991E0000}"/>
    <cellStyle name="Normal 13 2 3 2 3" xfId="7896" xr:uid="{00000000-0005-0000-0000-00009A1E0000}"/>
    <cellStyle name="Normal 13 2 3 2 3 2" xfId="7897" xr:uid="{00000000-0005-0000-0000-00009B1E0000}"/>
    <cellStyle name="Normal 13 2 3 2 3 2 2" xfId="7898" xr:uid="{00000000-0005-0000-0000-00009C1E0000}"/>
    <cellStyle name="Normal 13 2 3 2 3 3" xfId="7899" xr:uid="{00000000-0005-0000-0000-00009D1E0000}"/>
    <cellStyle name="Normal 13 2 3 2 4" xfId="7900" xr:uid="{00000000-0005-0000-0000-00009E1E0000}"/>
    <cellStyle name="Normal 13 2 3 2 4 2" xfId="7901" xr:uid="{00000000-0005-0000-0000-00009F1E0000}"/>
    <cellStyle name="Normal 13 2 3 2 5" xfId="7902" xr:uid="{00000000-0005-0000-0000-0000A01E0000}"/>
    <cellStyle name="Normal 13 2 3 2 5 2" xfId="7903" xr:uid="{00000000-0005-0000-0000-0000A11E0000}"/>
    <cellStyle name="Normal 13 2 3 2 6" xfId="7904" xr:uid="{00000000-0005-0000-0000-0000A21E0000}"/>
    <cellStyle name="Normal 13 2 3 3" xfId="7905" xr:uid="{00000000-0005-0000-0000-0000A31E0000}"/>
    <cellStyle name="Normal 13 2 3 3 2" xfId="7906" xr:uid="{00000000-0005-0000-0000-0000A41E0000}"/>
    <cellStyle name="Normal 13 2 3 3 2 2" xfId="7907" xr:uid="{00000000-0005-0000-0000-0000A51E0000}"/>
    <cellStyle name="Normal 13 2 3 3 3" xfId="7908" xr:uid="{00000000-0005-0000-0000-0000A61E0000}"/>
    <cellStyle name="Normal 13 2 3 3 3 2" xfId="7909" xr:uid="{00000000-0005-0000-0000-0000A71E0000}"/>
    <cellStyle name="Normal 13 2 3 3 4" xfId="7910" xr:uid="{00000000-0005-0000-0000-0000A81E0000}"/>
    <cellStyle name="Normal 13 2 3 4" xfId="7911" xr:uid="{00000000-0005-0000-0000-0000A91E0000}"/>
    <cellStyle name="Normal 13 2 3 4 2" xfId="7912" xr:uid="{00000000-0005-0000-0000-0000AA1E0000}"/>
    <cellStyle name="Normal 13 2 3 4 2 2" xfId="7913" xr:uid="{00000000-0005-0000-0000-0000AB1E0000}"/>
    <cellStyle name="Normal 13 2 3 4 3" xfId="7914" xr:uid="{00000000-0005-0000-0000-0000AC1E0000}"/>
    <cellStyle name="Normal 13 2 3 5" xfId="7915" xr:uid="{00000000-0005-0000-0000-0000AD1E0000}"/>
    <cellStyle name="Normal 13 2 3 5 2" xfId="7916" xr:uid="{00000000-0005-0000-0000-0000AE1E0000}"/>
    <cellStyle name="Normal 13 2 3 6" xfId="7917" xr:uid="{00000000-0005-0000-0000-0000AF1E0000}"/>
    <cellStyle name="Normal 13 2 3 6 2" xfId="7918" xr:uid="{00000000-0005-0000-0000-0000B01E0000}"/>
    <cellStyle name="Normal 13 2 3 7" xfId="7919" xr:uid="{00000000-0005-0000-0000-0000B11E0000}"/>
    <cellStyle name="Normal 13 3" xfId="7920" xr:uid="{00000000-0005-0000-0000-0000B21E0000}"/>
    <cellStyle name="Normal 13 3 2" xfId="7921" xr:uid="{00000000-0005-0000-0000-0000B31E0000}"/>
    <cellStyle name="Normal 13 3 2 2" xfId="7922" xr:uid="{00000000-0005-0000-0000-0000B41E0000}"/>
    <cellStyle name="Normal 13 3 2 2 2" xfId="7923" xr:uid="{00000000-0005-0000-0000-0000B51E0000}"/>
    <cellStyle name="Normal 13 3 2 2 2 2" xfId="7924" xr:uid="{00000000-0005-0000-0000-0000B61E0000}"/>
    <cellStyle name="Normal 13 3 2 2 3" xfId="7925" xr:uid="{00000000-0005-0000-0000-0000B71E0000}"/>
    <cellStyle name="Normal 13 3 2 2 3 2" xfId="7926" xr:uid="{00000000-0005-0000-0000-0000B81E0000}"/>
    <cellStyle name="Normal 13 3 2 2 4" xfId="7927" xr:uid="{00000000-0005-0000-0000-0000B91E0000}"/>
    <cellStyle name="Normal 13 3 2 3" xfId="7928" xr:uid="{00000000-0005-0000-0000-0000BA1E0000}"/>
    <cellStyle name="Normal 13 3 2 3 2" xfId="7929" xr:uid="{00000000-0005-0000-0000-0000BB1E0000}"/>
    <cellStyle name="Normal 13 3 2 3 2 2" xfId="7930" xr:uid="{00000000-0005-0000-0000-0000BC1E0000}"/>
    <cellStyle name="Normal 13 3 2 3 3" xfId="7931" xr:uid="{00000000-0005-0000-0000-0000BD1E0000}"/>
    <cellStyle name="Normal 13 3 2 4" xfId="7932" xr:uid="{00000000-0005-0000-0000-0000BE1E0000}"/>
    <cellStyle name="Normal 13 3 2 4 2" xfId="7933" xr:uid="{00000000-0005-0000-0000-0000BF1E0000}"/>
    <cellStyle name="Normal 13 3 2 5" xfId="7934" xr:uid="{00000000-0005-0000-0000-0000C01E0000}"/>
    <cellStyle name="Normal 13 3 2 5 2" xfId="7935" xr:uid="{00000000-0005-0000-0000-0000C11E0000}"/>
    <cellStyle name="Normal 13 3 2 6" xfId="7936" xr:uid="{00000000-0005-0000-0000-0000C21E0000}"/>
    <cellStyle name="Normal 13 3 3" xfId="7937" xr:uid="{00000000-0005-0000-0000-0000C31E0000}"/>
    <cellStyle name="Normal 13 3 3 2" xfId="7938" xr:uid="{00000000-0005-0000-0000-0000C41E0000}"/>
    <cellStyle name="Normal 13 3 3 2 2" xfId="7939" xr:uid="{00000000-0005-0000-0000-0000C51E0000}"/>
    <cellStyle name="Normal 13 3 3 3" xfId="7940" xr:uid="{00000000-0005-0000-0000-0000C61E0000}"/>
    <cellStyle name="Normal 13 3 3 3 2" xfId="7941" xr:uid="{00000000-0005-0000-0000-0000C71E0000}"/>
    <cellStyle name="Normal 13 3 3 4" xfId="7942" xr:uid="{00000000-0005-0000-0000-0000C81E0000}"/>
    <cellStyle name="Normal 13 3 4" xfId="7943" xr:uid="{00000000-0005-0000-0000-0000C91E0000}"/>
    <cellStyle name="Normal 13 3 4 2" xfId="7944" xr:uid="{00000000-0005-0000-0000-0000CA1E0000}"/>
    <cellStyle name="Normal 13 3 4 2 2" xfId="7945" xr:uid="{00000000-0005-0000-0000-0000CB1E0000}"/>
    <cellStyle name="Normal 13 3 4 3" xfId="7946" xr:uid="{00000000-0005-0000-0000-0000CC1E0000}"/>
    <cellStyle name="Normal 13 3 5" xfId="7947" xr:uid="{00000000-0005-0000-0000-0000CD1E0000}"/>
    <cellStyle name="Normal 13 3 5 2" xfId="7948" xr:uid="{00000000-0005-0000-0000-0000CE1E0000}"/>
    <cellStyle name="Normal 13 3 6" xfId="7949" xr:uid="{00000000-0005-0000-0000-0000CF1E0000}"/>
    <cellStyle name="Normal 13 3 6 2" xfId="7950" xr:uid="{00000000-0005-0000-0000-0000D01E0000}"/>
    <cellStyle name="Normal 13 3 7" xfId="7951" xr:uid="{00000000-0005-0000-0000-0000D11E0000}"/>
    <cellStyle name="Normal 13 4" xfId="7952" xr:uid="{00000000-0005-0000-0000-0000D21E0000}"/>
    <cellStyle name="Normal 13 4 2" xfId="7953" xr:uid="{00000000-0005-0000-0000-0000D31E0000}"/>
    <cellStyle name="Normal 13 4 2 2" xfId="7954" xr:uid="{00000000-0005-0000-0000-0000D41E0000}"/>
    <cellStyle name="Normal 13 4 2 2 2" xfId="7955" xr:uid="{00000000-0005-0000-0000-0000D51E0000}"/>
    <cellStyle name="Normal 13 4 2 2 2 2" xfId="7956" xr:uid="{00000000-0005-0000-0000-0000D61E0000}"/>
    <cellStyle name="Normal 13 4 2 2 3" xfId="7957" xr:uid="{00000000-0005-0000-0000-0000D71E0000}"/>
    <cellStyle name="Normal 13 4 2 2 3 2" xfId="7958" xr:uid="{00000000-0005-0000-0000-0000D81E0000}"/>
    <cellStyle name="Normal 13 4 2 2 4" xfId="7959" xr:uid="{00000000-0005-0000-0000-0000D91E0000}"/>
    <cellStyle name="Normal 13 4 2 3" xfId="7960" xr:uid="{00000000-0005-0000-0000-0000DA1E0000}"/>
    <cellStyle name="Normal 13 4 2 3 2" xfId="7961" xr:uid="{00000000-0005-0000-0000-0000DB1E0000}"/>
    <cellStyle name="Normal 13 4 2 3 2 2" xfId="7962" xr:uid="{00000000-0005-0000-0000-0000DC1E0000}"/>
    <cellStyle name="Normal 13 4 2 3 3" xfId="7963" xr:uid="{00000000-0005-0000-0000-0000DD1E0000}"/>
    <cellStyle name="Normal 13 4 2 4" xfId="7964" xr:uid="{00000000-0005-0000-0000-0000DE1E0000}"/>
    <cellStyle name="Normal 13 4 2 4 2" xfId="7965" xr:uid="{00000000-0005-0000-0000-0000DF1E0000}"/>
    <cellStyle name="Normal 13 4 2 5" xfId="7966" xr:uid="{00000000-0005-0000-0000-0000E01E0000}"/>
    <cellStyle name="Normal 13 4 2 5 2" xfId="7967" xr:uid="{00000000-0005-0000-0000-0000E11E0000}"/>
    <cellStyle name="Normal 13 4 2 6" xfId="7968" xr:uid="{00000000-0005-0000-0000-0000E21E0000}"/>
    <cellStyle name="Normal 13 4 3" xfId="7969" xr:uid="{00000000-0005-0000-0000-0000E31E0000}"/>
    <cellStyle name="Normal 13 4 3 2" xfId="7970" xr:uid="{00000000-0005-0000-0000-0000E41E0000}"/>
    <cellStyle name="Normal 13 4 3 2 2" xfId="7971" xr:uid="{00000000-0005-0000-0000-0000E51E0000}"/>
    <cellStyle name="Normal 13 4 3 3" xfId="7972" xr:uid="{00000000-0005-0000-0000-0000E61E0000}"/>
    <cellStyle name="Normal 13 4 3 3 2" xfId="7973" xr:uid="{00000000-0005-0000-0000-0000E71E0000}"/>
    <cellStyle name="Normal 13 4 3 4" xfId="7974" xr:uid="{00000000-0005-0000-0000-0000E81E0000}"/>
    <cellStyle name="Normal 13 4 4" xfId="7975" xr:uid="{00000000-0005-0000-0000-0000E91E0000}"/>
    <cellStyle name="Normal 13 4 4 2" xfId="7976" xr:uid="{00000000-0005-0000-0000-0000EA1E0000}"/>
    <cellStyle name="Normal 13 4 4 2 2" xfId="7977" xr:uid="{00000000-0005-0000-0000-0000EB1E0000}"/>
    <cellStyle name="Normal 13 4 4 3" xfId="7978" xr:uid="{00000000-0005-0000-0000-0000EC1E0000}"/>
    <cellStyle name="Normal 13 4 5" xfId="7979" xr:uid="{00000000-0005-0000-0000-0000ED1E0000}"/>
    <cellStyle name="Normal 13 4 5 2" xfId="7980" xr:uid="{00000000-0005-0000-0000-0000EE1E0000}"/>
    <cellStyle name="Normal 13 4 6" xfId="7981" xr:uid="{00000000-0005-0000-0000-0000EF1E0000}"/>
    <cellStyle name="Normal 13 4 6 2" xfId="7982" xr:uid="{00000000-0005-0000-0000-0000F01E0000}"/>
    <cellStyle name="Normal 13 4 7" xfId="7983" xr:uid="{00000000-0005-0000-0000-0000F11E0000}"/>
    <cellStyle name="Normal 13 5" xfId="7984" xr:uid="{00000000-0005-0000-0000-0000F21E0000}"/>
    <cellStyle name="Normal 130" xfId="7985" xr:uid="{00000000-0005-0000-0000-0000F31E0000}"/>
    <cellStyle name="Normal 131" xfId="7986" xr:uid="{00000000-0005-0000-0000-0000F41E0000}"/>
    <cellStyle name="Normal 132" xfId="7987" xr:uid="{00000000-0005-0000-0000-0000F51E0000}"/>
    <cellStyle name="Normal 133" xfId="7988" xr:uid="{00000000-0005-0000-0000-0000F61E0000}"/>
    <cellStyle name="Normal 134" xfId="7989" xr:uid="{00000000-0005-0000-0000-0000F71E0000}"/>
    <cellStyle name="Normal 135" xfId="7990" xr:uid="{00000000-0005-0000-0000-0000F81E0000}"/>
    <cellStyle name="Normal 136" xfId="7991" xr:uid="{00000000-0005-0000-0000-0000F91E0000}"/>
    <cellStyle name="Normal 137" xfId="7992" xr:uid="{00000000-0005-0000-0000-0000FA1E0000}"/>
    <cellStyle name="Normal 138" xfId="7993" xr:uid="{00000000-0005-0000-0000-0000FB1E0000}"/>
    <cellStyle name="Normal 139" xfId="7994" xr:uid="{00000000-0005-0000-0000-0000FC1E0000}"/>
    <cellStyle name="Normal 14" xfId="192" xr:uid="{00000000-0005-0000-0000-0000FD1E0000}"/>
    <cellStyle name="Normal 14 2" xfId="7995" xr:uid="{00000000-0005-0000-0000-0000FE1E0000}"/>
    <cellStyle name="Normal 14 3" xfId="7996" xr:uid="{00000000-0005-0000-0000-0000FF1E0000}"/>
    <cellStyle name="Normal 140" xfId="7997" xr:uid="{00000000-0005-0000-0000-0000001F0000}"/>
    <cellStyle name="Normal 141" xfId="7998" xr:uid="{00000000-0005-0000-0000-0000011F0000}"/>
    <cellStyle name="Normal 142" xfId="7999" xr:uid="{00000000-0005-0000-0000-0000021F0000}"/>
    <cellStyle name="Normal 143" xfId="8000" xr:uid="{00000000-0005-0000-0000-0000031F0000}"/>
    <cellStyle name="Normal 144" xfId="8001" xr:uid="{00000000-0005-0000-0000-0000041F0000}"/>
    <cellStyle name="Normal 145" xfId="8002" xr:uid="{00000000-0005-0000-0000-0000051F0000}"/>
    <cellStyle name="Normal 146" xfId="8003" xr:uid="{00000000-0005-0000-0000-0000061F0000}"/>
    <cellStyle name="Normal 147" xfId="8004" xr:uid="{00000000-0005-0000-0000-0000071F0000}"/>
    <cellStyle name="Normal 148" xfId="8005" xr:uid="{00000000-0005-0000-0000-0000081F0000}"/>
    <cellStyle name="Normal 149" xfId="8006" xr:uid="{00000000-0005-0000-0000-0000091F0000}"/>
    <cellStyle name="Normal 15" xfId="193" xr:uid="{00000000-0005-0000-0000-00000A1F0000}"/>
    <cellStyle name="Normal 15 2" xfId="8007" xr:uid="{00000000-0005-0000-0000-00000B1F0000}"/>
    <cellStyle name="Normal 150" xfId="8008" xr:uid="{00000000-0005-0000-0000-00000C1F0000}"/>
    <cellStyle name="Normal 151" xfId="8009" xr:uid="{00000000-0005-0000-0000-00000D1F0000}"/>
    <cellStyle name="Normal 152" xfId="8010" xr:uid="{00000000-0005-0000-0000-00000E1F0000}"/>
    <cellStyle name="Normal 153" xfId="8011" xr:uid="{00000000-0005-0000-0000-00000F1F0000}"/>
    <cellStyle name="Normal 154" xfId="8012" xr:uid="{00000000-0005-0000-0000-0000101F0000}"/>
    <cellStyle name="Normal 155" xfId="8013" xr:uid="{00000000-0005-0000-0000-0000111F0000}"/>
    <cellStyle name="Normal 156" xfId="8014" xr:uid="{00000000-0005-0000-0000-0000121F0000}"/>
    <cellStyle name="Normal 157" xfId="8015" xr:uid="{00000000-0005-0000-0000-0000131F0000}"/>
    <cellStyle name="Normal 158" xfId="8016" xr:uid="{00000000-0005-0000-0000-0000141F0000}"/>
    <cellStyle name="Normal 159" xfId="8017" xr:uid="{00000000-0005-0000-0000-0000151F0000}"/>
    <cellStyle name="Normal 16" xfId="194" xr:uid="{00000000-0005-0000-0000-0000161F0000}"/>
    <cellStyle name="Normal 16 2" xfId="8018" xr:uid="{00000000-0005-0000-0000-0000171F0000}"/>
    <cellStyle name="Normal 160" xfId="8019" xr:uid="{00000000-0005-0000-0000-0000181F0000}"/>
    <cellStyle name="Normal 161" xfId="8020" xr:uid="{00000000-0005-0000-0000-0000191F0000}"/>
    <cellStyle name="Normal 162" xfId="8021" xr:uid="{00000000-0005-0000-0000-00001A1F0000}"/>
    <cellStyle name="Normal 163" xfId="8022" xr:uid="{00000000-0005-0000-0000-00001B1F0000}"/>
    <cellStyle name="Normal 164" xfId="8023" xr:uid="{00000000-0005-0000-0000-00001C1F0000}"/>
    <cellStyle name="Normal 165" xfId="8024" xr:uid="{00000000-0005-0000-0000-00001D1F0000}"/>
    <cellStyle name="Normal 166" xfId="8025" xr:uid="{00000000-0005-0000-0000-00001E1F0000}"/>
    <cellStyle name="Normal 167" xfId="8026" xr:uid="{00000000-0005-0000-0000-00001F1F0000}"/>
    <cellStyle name="Normal 168" xfId="8027" xr:uid="{00000000-0005-0000-0000-0000201F0000}"/>
    <cellStyle name="Normal 169" xfId="8028" xr:uid="{00000000-0005-0000-0000-0000211F0000}"/>
    <cellStyle name="Normal 17" xfId="195" xr:uid="{00000000-0005-0000-0000-0000221F0000}"/>
    <cellStyle name="Normal 17 2" xfId="8029" xr:uid="{00000000-0005-0000-0000-0000231F0000}"/>
    <cellStyle name="Normal 17 2 2" xfId="8030" xr:uid="{00000000-0005-0000-0000-0000241F0000}"/>
    <cellStyle name="Normal 17 2 2 2" xfId="8031" xr:uid="{00000000-0005-0000-0000-0000251F0000}"/>
    <cellStyle name="Normal 170" xfId="8032" xr:uid="{00000000-0005-0000-0000-0000261F0000}"/>
    <cellStyle name="Normal 171" xfId="8033" xr:uid="{00000000-0005-0000-0000-0000271F0000}"/>
    <cellStyle name="Normal 172" xfId="8034" xr:uid="{00000000-0005-0000-0000-0000281F0000}"/>
    <cellStyle name="Normal 173" xfId="8035" xr:uid="{00000000-0005-0000-0000-0000291F0000}"/>
    <cellStyle name="Normal 173 2" xfId="8036" xr:uid="{00000000-0005-0000-0000-00002A1F0000}"/>
    <cellStyle name="Normal 173 2 2" xfId="8037" xr:uid="{00000000-0005-0000-0000-00002B1F0000}"/>
    <cellStyle name="Normal 173 2 3" xfId="8038" xr:uid="{00000000-0005-0000-0000-00002C1F0000}"/>
    <cellStyle name="Normal 174" xfId="8039" xr:uid="{00000000-0005-0000-0000-00002D1F0000}"/>
    <cellStyle name="Normal 174 2" xfId="8040" xr:uid="{00000000-0005-0000-0000-00002E1F0000}"/>
    <cellStyle name="Normal 174 3" xfId="8041" xr:uid="{00000000-0005-0000-0000-00002F1F0000}"/>
    <cellStyle name="Normal 175" xfId="8042" xr:uid="{00000000-0005-0000-0000-0000301F0000}"/>
    <cellStyle name="Normal 176" xfId="16762" xr:uid="{00000000-0005-0000-0000-0000311F0000}"/>
    <cellStyle name="Normal 177" xfId="16763" xr:uid="{00000000-0005-0000-0000-0000321F0000}"/>
    <cellStyle name="Normal 178" xfId="8043" xr:uid="{00000000-0005-0000-0000-0000331F0000}"/>
    <cellStyle name="Normal 179" xfId="16764" xr:uid="{00000000-0005-0000-0000-0000341F0000}"/>
    <cellStyle name="Normal 18" xfId="282" xr:uid="{00000000-0005-0000-0000-0000351F0000}"/>
    <cellStyle name="Normal 18 2" xfId="8044" xr:uid="{00000000-0005-0000-0000-0000361F0000}"/>
    <cellStyle name="Normal 180" xfId="16765" xr:uid="{00000000-0005-0000-0000-0000371F0000}"/>
    <cellStyle name="Normal 181" xfId="16767" xr:uid="{00000000-0005-0000-0000-0000381F0000}"/>
    <cellStyle name="Normal 182" xfId="16768" xr:uid="{00000000-0005-0000-0000-0000391F0000}"/>
    <cellStyle name="Normal 183" xfId="16769" xr:uid="{00000000-0005-0000-0000-00003A1F0000}"/>
    <cellStyle name="Normal 184" xfId="16770" xr:uid="{00000000-0005-0000-0000-00003B1F0000}"/>
    <cellStyle name="Normal 185" xfId="16771" xr:uid="{00000000-0005-0000-0000-00003C1F0000}"/>
    <cellStyle name="Normal 186" xfId="2" xr:uid="{00000000-0005-0000-0000-00003D1F0000}"/>
    <cellStyle name="Normal 187" xfId="16772" xr:uid="{00000000-0005-0000-0000-00003E1F0000}"/>
    <cellStyle name="Normal 188" xfId="16888" xr:uid="{00000000-0005-0000-0000-00003F1F0000}"/>
    <cellStyle name="Normal 189" xfId="16781" xr:uid="{00000000-0005-0000-0000-0000401F0000}"/>
    <cellStyle name="Normal 19" xfId="8045" xr:uid="{00000000-0005-0000-0000-0000411F0000}"/>
    <cellStyle name="Normal 19 2" xfId="8046" xr:uid="{00000000-0005-0000-0000-0000421F0000}"/>
    <cellStyle name="Normal 190" xfId="16891" xr:uid="{00000000-0005-0000-0000-0000431F0000}"/>
    <cellStyle name="Normal 2" xfId="3" xr:uid="{00000000-0005-0000-0000-0000441F0000}"/>
    <cellStyle name="Normal 2 10" xfId="8047" xr:uid="{00000000-0005-0000-0000-0000451F0000}"/>
    <cellStyle name="Normal 2 10 2" xfId="8048" xr:uid="{00000000-0005-0000-0000-0000461F0000}"/>
    <cellStyle name="Normal 2 2" xfId="196" xr:uid="{00000000-0005-0000-0000-0000471F0000}"/>
    <cellStyle name="Normal 2 2 2" xfId="197" xr:uid="{00000000-0005-0000-0000-0000481F0000}"/>
    <cellStyle name="Normal 2 2 2 2" xfId="8049" xr:uid="{00000000-0005-0000-0000-0000491F0000}"/>
    <cellStyle name="Normal 2 2 3" xfId="8050" xr:uid="{00000000-0005-0000-0000-00004A1F0000}"/>
    <cellStyle name="Normal 2 3" xfId="198" xr:uid="{00000000-0005-0000-0000-00004B1F0000}"/>
    <cellStyle name="Normal 2 3 2" xfId="8051" xr:uid="{00000000-0005-0000-0000-00004C1F0000}"/>
    <cellStyle name="Normal 2 3 2 2" xfId="8052" xr:uid="{00000000-0005-0000-0000-00004D1F0000}"/>
    <cellStyle name="Normal 2 3 3" xfId="8053" xr:uid="{00000000-0005-0000-0000-00004E1F0000}"/>
    <cellStyle name="Normal 2 3 3 2" xfId="8054" xr:uid="{00000000-0005-0000-0000-00004F1F0000}"/>
    <cellStyle name="Normal 2 3 4" xfId="8055" xr:uid="{00000000-0005-0000-0000-0000501F0000}"/>
    <cellStyle name="Normal 2 3 4 2" xfId="8056" xr:uid="{00000000-0005-0000-0000-0000511F0000}"/>
    <cellStyle name="Normal 2 3 4 2 2" xfId="8057" xr:uid="{00000000-0005-0000-0000-0000521F0000}"/>
    <cellStyle name="Normal 2 3 4 3" xfId="8058" xr:uid="{00000000-0005-0000-0000-0000531F0000}"/>
    <cellStyle name="Normal 2 4" xfId="8059" xr:uid="{00000000-0005-0000-0000-0000541F0000}"/>
    <cellStyle name="Normal 2 4 2" xfId="8060" xr:uid="{00000000-0005-0000-0000-0000551F0000}"/>
    <cellStyle name="Normal 2 4 3" xfId="8061" xr:uid="{00000000-0005-0000-0000-0000561F0000}"/>
    <cellStyle name="Normal 2 4 3 2" xfId="8062" xr:uid="{00000000-0005-0000-0000-0000571F0000}"/>
    <cellStyle name="Normal 2 4 4" xfId="8063" xr:uid="{00000000-0005-0000-0000-0000581F0000}"/>
    <cellStyle name="Normal 2 4 4 2" xfId="8064" xr:uid="{00000000-0005-0000-0000-0000591F0000}"/>
    <cellStyle name="Normal 2 4 4 2 2" xfId="8065" xr:uid="{00000000-0005-0000-0000-00005A1F0000}"/>
    <cellStyle name="Normal 2 4 4 3" xfId="8066" xr:uid="{00000000-0005-0000-0000-00005B1F0000}"/>
    <cellStyle name="Normal 2 4 5" xfId="8067" xr:uid="{00000000-0005-0000-0000-00005C1F0000}"/>
    <cellStyle name="Normal 2 5" xfId="8068" xr:uid="{00000000-0005-0000-0000-00005D1F0000}"/>
    <cellStyle name="Normal 2 5 2" xfId="8069" xr:uid="{00000000-0005-0000-0000-00005E1F0000}"/>
    <cellStyle name="Normal 2 5 2 2" xfId="8070" xr:uid="{00000000-0005-0000-0000-00005F1F0000}"/>
    <cellStyle name="Normal 2 6" xfId="8071" xr:uid="{00000000-0005-0000-0000-0000601F0000}"/>
    <cellStyle name="Normal 2 6 2" xfId="8072" xr:uid="{00000000-0005-0000-0000-0000611F0000}"/>
    <cellStyle name="Normal 2_2H 08 revenue outlookHKV2" xfId="8073" xr:uid="{00000000-0005-0000-0000-0000621F0000}"/>
    <cellStyle name="Normal 20" xfId="8074" xr:uid="{00000000-0005-0000-0000-0000631F0000}"/>
    <cellStyle name="Normal 21" xfId="8075" xr:uid="{00000000-0005-0000-0000-0000641F0000}"/>
    <cellStyle name="Normal 21 2" xfId="8076" xr:uid="{00000000-0005-0000-0000-0000651F0000}"/>
    <cellStyle name="Normal 22" xfId="8077" xr:uid="{00000000-0005-0000-0000-0000661F0000}"/>
    <cellStyle name="Normal 23" xfId="8078" xr:uid="{00000000-0005-0000-0000-0000671F0000}"/>
    <cellStyle name="Normal 23 2" xfId="8079" xr:uid="{00000000-0005-0000-0000-0000681F0000}"/>
    <cellStyle name="Normal 24" xfId="8080" xr:uid="{00000000-0005-0000-0000-0000691F0000}"/>
    <cellStyle name="Normal 25" xfId="8081" xr:uid="{00000000-0005-0000-0000-00006A1F0000}"/>
    <cellStyle name="Normal 25 2" xfId="8082" xr:uid="{00000000-0005-0000-0000-00006B1F0000}"/>
    <cellStyle name="Normal 25 2 2" xfId="8083" xr:uid="{00000000-0005-0000-0000-00006C1F0000}"/>
    <cellStyle name="Normal 25 3" xfId="8084" xr:uid="{00000000-0005-0000-0000-00006D1F0000}"/>
    <cellStyle name="Normal 26" xfId="8085" xr:uid="{00000000-0005-0000-0000-00006E1F0000}"/>
    <cellStyle name="Normal 26 2" xfId="8086" xr:uid="{00000000-0005-0000-0000-00006F1F0000}"/>
    <cellStyle name="Normal 27" xfId="8087" xr:uid="{00000000-0005-0000-0000-0000701F0000}"/>
    <cellStyle name="Normal 27 2" xfId="8088" xr:uid="{00000000-0005-0000-0000-0000711F0000}"/>
    <cellStyle name="Normal 27 2 2" xfId="8089" xr:uid="{00000000-0005-0000-0000-0000721F0000}"/>
    <cellStyle name="Normal 27 2 2 2" xfId="8090" xr:uid="{00000000-0005-0000-0000-0000731F0000}"/>
    <cellStyle name="Normal 27 2 2 2 2" xfId="8091" xr:uid="{00000000-0005-0000-0000-0000741F0000}"/>
    <cellStyle name="Normal 27 2 2 2 2 2" xfId="8092" xr:uid="{00000000-0005-0000-0000-0000751F0000}"/>
    <cellStyle name="Normal 27 2 2 2 3" xfId="8093" xr:uid="{00000000-0005-0000-0000-0000761F0000}"/>
    <cellStyle name="Normal 27 2 2 2 3 2" xfId="8094" xr:uid="{00000000-0005-0000-0000-0000771F0000}"/>
    <cellStyle name="Normal 27 2 2 2 4" xfId="8095" xr:uid="{00000000-0005-0000-0000-0000781F0000}"/>
    <cellStyle name="Normal 27 2 2 3" xfId="8096" xr:uid="{00000000-0005-0000-0000-0000791F0000}"/>
    <cellStyle name="Normal 27 2 2 3 2" xfId="8097" xr:uid="{00000000-0005-0000-0000-00007A1F0000}"/>
    <cellStyle name="Normal 27 2 2 3 2 2" xfId="8098" xr:uid="{00000000-0005-0000-0000-00007B1F0000}"/>
    <cellStyle name="Normal 27 2 2 3 3" xfId="8099" xr:uid="{00000000-0005-0000-0000-00007C1F0000}"/>
    <cellStyle name="Normal 27 2 2 4" xfId="8100" xr:uid="{00000000-0005-0000-0000-00007D1F0000}"/>
    <cellStyle name="Normal 27 2 2 4 2" xfId="8101" xr:uid="{00000000-0005-0000-0000-00007E1F0000}"/>
    <cellStyle name="Normal 27 2 2 5" xfId="8102" xr:uid="{00000000-0005-0000-0000-00007F1F0000}"/>
    <cellStyle name="Normal 27 2 2 5 2" xfId="8103" xr:uid="{00000000-0005-0000-0000-0000801F0000}"/>
    <cellStyle name="Normal 27 2 2 6" xfId="8104" xr:uid="{00000000-0005-0000-0000-0000811F0000}"/>
    <cellStyle name="Normal 27 2 3" xfId="8105" xr:uid="{00000000-0005-0000-0000-0000821F0000}"/>
    <cellStyle name="Normal 27 2 3 2" xfId="8106" xr:uid="{00000000-0005-0000-0000-0000831F0000}"/>
    <cellStyle name="Normal 27 2 3 2 2" xfId="8107" xr:uid="{00000000-0005-0000-0000-0000841F0000}"/>
    <cellStyle name="Normal 27 2 3 3" xfId="8108" xr:uid="{00000000-0005-0000-0000-0000851F0000}"/>
    <cellStyle name="Normal 27 2 3 3 2" xfId="8109" xr:uid="{00000000-0005-0000-0000-0000861F0000}"/>
    <cellStyle name="Normal 27 2 3 4" xfId="8110" xr:uid="{00000000-0005-0000-0000-0000871F0000}"/>
    <cellStyle name="Normal 27 2 4" xfId="8111" xr:uid="{00000000-0005-0000-0000-0000881F0000}"/>
    <cellStyle name="Normal 27 2 4 2" xfId="8112" xr:uid="{00000000-0005-0000-0000-0000891F0000}"/>
    <cellStyle name="Normal 27 2 4 2 2" xfId="8113" xr:uid="{00000000-0005-0000-0000-00008A1F0000}"/>
    <cellStyle name="Normal 27 2 4 3" xfId="8114" xr:uid="{00000000-0005-0000-0000-00008B1F0000}"/>
    <cellStyle name="Normal 27 2 5" xfId="8115" xr:uid="{00000000-0005-0000-0000-00008C1F0000}"/>
    <cellStyle name="Normal 27 2 5 2" xfId="8116" xr:uid="{00000000-0005-0000-0000-00008D1F0000}"/>
    <cellStyle name="Normal 27 2 6" xfId="8117" xr:uid="{00000000-0005-0000-0000-00008E1F0000}"/>
    <cellStyle name="Normal 27 2 6 2" xfId="8118" xr:uid="{00000000-0005-0000-0000-00008F1F0000}"/>
    <cellStyle name="Normal 27 2 7" xfId="8119" xr:uid="{00000000-0005-0000-0000-0000901F0000}"/>
    <cellStyle name="Normal 27 3" xfId="8120" xr:uid="{00000000-0005-0000-0000-0000911F0000}"/>
    <cellStyle name="Normal 27 3 2" xfId="8121" xr:uid="{00000000-0005-0000-0000-0000921F0000}"/>
    <cellStyle name="Normal 27 3 2 2" xfId="8122" xr:uid="{00000000-0005-0000-0000-0000931F0000}"/>
    <cellStyle name="Normal 27 3 2 2 2" xfId="8123" xr:uid="{00000000-0005-0000-0000-0000941F0000}"/>
    <cellStyle name="Normal 27 3 2 3" xfId="8124" xr:uid="{00000000-0005-0000-0000-0000951F0000}"/>
    <cellStyle name="Normal 27 3 2 3 2" xfId="8125" xr:uid="{00000000-0005-0000-0000-0000961F0000}"/>
    <cellStyle name="Normal 27 3 2 4" xfId="8126" xr:uid="{00000000-0005-0000-0000-0000971F0000}"/>
    <cellStyle name="Normal 27 3 3" xfId="8127" xr:uid="{00000000-0005-0000-0000-0000981F0000}"/>
    <cellStyle name="Normal 27 3 3 2" xfId="8128" xr:uid="{00000000-0005-0000-0000-0000991F0000}"/>
    <cellStyle name="Normal 27 3 3 2 2" xfId="8129" xr:uid="{00000000-0005-0000-0000-00009A1F0000}"/>
    <cellStyle name="Normal 27 3 3 3" xfId="8130" xr:uid="{00000000-0005-0000-0000-00009B1F0000}"/>
    <cellStyle name="Normal 27 3 4" xfId="8131" xr:uid="{00000000-0005-0000-0000-00009C1F0000}"/>
    <cellStyle name="Normal 27 3 4 2" xfId="8132" xr:uid="{00000000-0005-0000-0000-00009D1F0000}"/>
    <cellStyle name="Normal 27 3 5" xfId="8133" xr:uid="{00000000-0005-0000-0000-00009E1F0000}"/>
    <cellStyle name="Normal 27 3 5 2" xfId="8134" xr:uid="{00000000-0005-0000-0000-00009F1F0000}"/>
    <cellStyle name="Normal 27 3 6" xfId="8135" xr:uid="{00000000-0005-0000-0000-0000A01F0000}"/>
    <cellStyle name="Normal 27 4" xfId="8136" xr:uid="{00000000-0005-0000-0000-0000A11F0000}"/>
    <cellStyle name="Normal 27 4 2" xfId="8137" xr:uid="{00000000-0005-0000-0000-0000A21F0000}"/>
    <cellStyle name="Normal 27 4 2 2" xfId="8138" xr:uid="{00000000-0005-0000-0000-0000A31F0000}"/>
    <cellStyle name="Normal 27 4 3" xfId="8139" xr:uid="{00000000-0005-0000-0000-0000A41F0000}"/>
    <cellStyle name="Normal 27 4 3 2" xfId="8140" xr:uid="{00000000-0005-0000-0000-0000A51F0000}"/>
    <cellStyle name="Normal 27 4 4" xfId="8141" xr:uid="{00000000-0005-0000-0000-0000A61F0000}"/>
    <cellStyle name="Normal 27 5" xfId="8142" xr:uid="{00000000-0005-0000-0000-0000A71F0000}"/>
    <cellStyle name="Normal 27 5 2" xfId="8143" xr:uid="{00000000-0005-0000-0000-0000A81F0000}"/>
    <cellStyle name="Normal 27 5 2 2" xfId="8144" xr:uid="{00000000-0005-0000-0000-0000A91F0000}"/>
    <cellStyle name="Normal 27 5 3" xfId="8145" xr:uid="{00000000-0005-0000-0000-0000AA1F0000}"/>
    <cellStyle name="Normal 27 6" xfId="8146" xr:uid="{00000000-0005-0000-0000-0000AB1F0000}"/>
    <cellStyle name="Normal 27 6 2" xfId="8147" xr:uid="{00000000-0005-0000-0000-0000AC1F0000}"/>
    <cellStyle name="Normal 27 7" xfId="8148" xr:uid="{00000000-0005-0000-0000-0000AD1F0000}"/>
    <cellStyle name="Normal 27 7 2" xfId="8149" xr:uid="{00000000-0005-0000-0000-0000AE1F0000}"/>
    <cellStyle name="Normal 27 8" xfId="8150" xr:uid="{00000000-0005-0000-0000-0000AF1F0000}"/>
    <cellStyle name="Normal 28" xfId="8151" xr:uid="{00000000-0005-0000-0000-0000B01F0000}"/>
    <cellStyle name="Normal 28 2" xfId="8152" xr:uid="{00000000-0005-0000-0000-0000B11F0000}"/>
    <cellStyle name="Normal 29" xfId="8153" xr:uid="{00000000-0005-0000-0000-0000B21F0000}"/>
    <cellStyle name="Normal 29 2" xfId="8154" xr:uid="{00000000-0005-0000-0000-0000B31F0000}"/>
    <cellStyle name="Normal 3" xfId="199" xr:uid="{00000000-0005-0000-0000-0000B41F0000}"/>
    <cellStyle name="Normal 3 2" xfId="200" xr:uid="{00000000-0005-0000-0000-0000B51F0000}"/>
    <cellStyle name="Normal 3 2 2" xfId="8155" xr:uid="{00000000-0005-0000-0000-0000B61F0000}"/>
    <cellStyle name="Normal 3 2 2 2" xfId="8156" xr:uid="{00000000-0005-0000-0000-0000B71F0000}"/>
    <cellStyle name="Normal 3 2 2 2 2" xfId="8157" xr:uid="{00000000-0005-0000-0000-0000B81F0000}"/>
    <cellStyle name="Normal 3 2 2 2 2 2" xfId="8158" xr:uid="{00000000-0005-0000-0000-0000B91F0000}"/>
    <cellStyle name="Normal 3 2 2 2 2 2 2" xfId="8159" xr:uid="{00000000-0005-0000-0000-0000BA1F0000}"/>
    <cellStyle name="Normal 3 2 2 2 2 3" xfId="8160" xr:uid="{00000000-0005-0000-0000-0000BB1F0000}"/>
    <cellStyle name="Normal 3 2 2 2 2 3 2" xfId="8161" xr:uid="{00000000-0005-0000-0000-0000BC1F0000}"/>
    <cellStyle name="Normal 3 2 2 2 2 4" xfId="8162" xr:uid="{00000000-0005-0000-0000-0000BD1F0000}"/>
    <cellStyle name="Normal 3 2 2 2 3" xfId="8163" xr:uid="{00000000-0005-0000-0000-0000BE1F0000}"/>
    <cellStyle name="Normal 3 2 2 2 3 2" xfId="8164" xr:uid="{00000000-0005-0000-0000-0000BF1F0000}"/>
    <cellStyle name="Normal 3 2 2 2 3 2 2" xfId="8165" xr:uid="{00000000-0005-0000-0000-0000C01F0000}"/>
    <cellStyle name="Normal 3 2 2 2 3 3" xfId="8166" xr:uid="{00000000-0005-0000-0000-0000C11F0000}"/>
    <cellStyle name="Normal 3 2 2 2 4" xfId="8167" xr:uid="{00000000-0005-0000-0000-0000C21F0000}"/>
    <cellStyle name="Normal 3 2 2 2 4 2" xfId="8168" xr:uid="{00000000-0005-0000-0000-0000C31F0000}"/>
    <cellStyle name="Normal 3 2 2 2 5" xfId="8169" xr:uid="{00000000-0005-0000-0000-0000C41F0000}"/>
    <cellStyle name="Normal 3 2 2 2 5 2" xfId="8170" xr:uid="{00000000-0005-0000-0000-0000C51F0000}"/>
    <cellStyle name="Normal 3 2 2 2 6" xfId="8171" xr:uid="{00000000-0005-0000-0000-0000C61F0000}"/>
    <cellStyle name="Normal 3 2 2 3" xfId="8172" xr:uid="{00000000-0005-0000-0000-0000C71F0000}"/>
    <cellStyle name="Normal 3 2 2 3 2" xfId="8173" xr:uid="{00000000-0005-0000-0000-0000C81F0000}"/>
    <cellStyle name="Normal 3 2 2 3 2 2" xfId="8174" xr:uid="{00000000-0005-0000-0000-0000C91F0000}"/>
    <cellStyle name="Normal 3 2 2 3 3" xfId="8175" xr:uid="{00000000-0005-0000-0000-0000CA1F0000}"/>
    <cellStyle name="Normal 3 2 2 3 3 2" xfId="8176" xr:uid="{00000000-0005-0000-0000-0000CB1F0000}"/>
    <cellStyle name="Normal 3 2 2 3 4" xfId="8177" xr:uid="{00000000-0005-0000-0000-0000CC1F0000}"/>
    <cellStyle name="Normal 3 2 2 4" xfId="8178" xr:uid="{00000000-0005-0000-0000-0000CD1F0000}"/>
    <cellStyle name="Normal 3 2 2 4 2" xfId="8179" xr:uid="{00000000-0005-0000-0000-0000CE1F0000}"/>
    <cellStyle name="Normal 3 2 2 4 2 2" xfId="8180" xr:uid="{00000000-0005-0000-0000-0000CF1F0000}"/>
    <cellStyle name="Normal 3 2 2 4 3" xfId="8181" xr:uid="{00000000-0005-0000-0000-0000D01F0000}"/>
    <cellStyle name="Normal 3 2 2 5" xfId="8182" xr:uid="{00000000-0005-0000-0000-0000D11F0000}"/>
    <cellStyle name="Normal 3 2 2 5 2" xfId="8183" xr:uid="{00000000-0005-0000-0000-0000D21F0000}"/>
    <cellStyle name="Normal 3 2 2 6" xfId="8184" xr:uid="{00000000-0005-0000-0000-0000D31F0000}"/>
    <cellStyle name="Normal 3 2 2 6 2" xfId="8185" xr:uid="{00000000-0005-0000-0000-0000D41F0000}"/>
    <cellStyle name="Normal 3 2 2 7" xfId="8186" xr:uid="{00000000-0005-0000-0000-0000D51F0000}"/>
    <cellStyle name="Normal 3 2 3" xfId="8187" xr:uid="{00000000-0005-0000-0000-0000D61F0000}"/>
    <cellStyle name="Normal 3 2 3 2" xfId="8188" xr:uid="{00000000-0005-0000-0000-0000D71F0000}"/>
    <cellStyle name="Normal 3 2 3 2 2" xfId="8189" xr:uid="{00000000-0005-0000-0000-0000D81F0000}"/>
    <cellStyle name="Normal 3 2 3 2 2 2" xfId="8190" xr:uid="{00000000-0005-0000-0000-0000D91F0000}"/>
    <cellStyle name="Normal 3 2 3 2 3" xfId="8191" xr:uid="{00000000-0005-0000-0000-0000DA1F0000}"/>
    <cellStyle name="Normal 3 2 3 2 4" xfId="8192" xr:uid="{00000000-0005-0000-0000-0000DB1F0000}"/>
    <cellStyle name="Normal 3 2 3 2 5" xfId="8193" xr:uid="{00000000-0005-0000-0000-0000DC1F0000}"/>
    <cellStyle name="Normal 3 2 3 3" xfId="8194" xr:uid="{00000000-0005-0000-0000-0000DD1F0000}"/>
    <cellStyle name="Normal 3 2 3 3 2" xfId="8195" xr:uid="{00000000-0005-0000-0000-0000DE1F0000}"/>
    <cellStyle name="Normal 3 2 3 3 2 2" xfId="8196" xr:uid="{00000000-0005-0000-0000-0000DF1F0000}"/>
    <cellStyle name="Normal 3 2 3 3 3" xfId="8197" xr:uid="{00000000-0005-0000-0000-0000E01F0000}"/>
    <cellStyle name="Normal 3 2 3 4" xfId="8198" xr:uid="{00000000-0005-0000-0000-0000E11F0000}"/>
    <cellStyle name="Normal 3 2 3 4 2" xfId="8199" xr:uid="{00000000-0005-0000-0000-0000E21F0000}"/>
    <cellStyle name="Normal 3 2 3 5" xfId="8200" xr:uid="{00000000-0005-0000-0000-0000E31F0000}"/>
    <cellStyle name="Normal 3 2 3 6" xfId="8201" xr:uid="{00000000-0005-0000-0000-0000E41F0000}"/>
    <cellStyle name="Normal 3 2 3 6 2" xfId="8202" xr:uid="{00000000-0005-0000-0000-0000E51F0000}"/>
    <cellStyle name="Normal 3 2 4" xfId="8203" xr:uid="{00000000-0005-0000-0000-0000E61F0000}"/>
    <cellStyle name="Normal 3 2 4 2" xfId="8204" xr:uid="{00000000-0005-0000-0000-0000E71F0000}"/>
    <cellStyle name="Normal 3 2 4 2 2" xfId="8205" xr:uid="{00000000-0005-0000-0000-0000E81F0000}"/>
    <cellStyle name="Normal 3 2 4 3" xfId="8206" xr:uid="{00000000-0005-0000-0000-0000E91F0000}"/>
    <cellStyle name="Normal 3 2 5" xfId="8207" xr:uid="{00000000-0005-0000-0000-0000EA1F0000}"/>
    <cellStyle name="Normal 3 2 5 2" xfId="8208" xr:uid="{00000000-0005-0000-0000-0000EB1F0000}"/>
    <cellStyle name="Normal 3 2 5 2 2" xfId="8209" xr:uid="{00000000-0005-0000-0000-0000EC1F0000}"/>
    <cellStyle name="Normal 3 2 5 3" xfId="8210" xr:uid="{00000000-0005-0000-0000-0000ED1F0000}"/>
    <cellStyle name="Normal 3 2 6" xfId="8211" xr:uid="{00000000-0005-0000-0000-0000EE1F0000}"/>
    <cellStyle name="Normal 3 2 6 2" xfId="8212" xr:uid="{00000000-0005-0000-0000-0000EF1F0000}"/>
    <cellStyle name="Normal 3 2 7" xfId="8213" xr:uid="{00000000-0005-0000-0000-0000F01F0000}"/>
    <cellStyle name="Normal 3 2 7 2" xfId="8214" xr:uid="{00000000-0005-0000-0000-0000F11F0000}"/>
    <cellStyle name="Normal 3 2 8" xfId="8215" xr:uid="{00000000-0005-0000-0000-0000F21F0000}"/>
    <cellStyle name="Normal 3 3" xfId="201" xr:uid="{00000000-0005-0000-0000-0000F31F0000}"/>
    <cellStyle name="Normal 3 3 2" xfId="8216" xr:uid="{00000000-0005-0000-0000-0000F41F0000}"/>
    <cellStyle name="Normal 3 4" xfId="8217" xr:uid="{00000000-0005-0000-0000-0000F51F0000}"/>
    <cellStyle name="Normal 3 4 2" xfId="8218" xr:uid="{00000000-0005-0000-0000-0000F61F0000}"/>
    <cellStyle name="Normal 3 5" xfId="8219" xr:uid="{00000000-0005-0000-0000-0000F71F0000}"/>
    <cellStyle name="Normal 3 5 2" xfId="8220" xr:uid="{00000000-0005-0000-0000-0000F81F0000}"/>
    <cellStyle name="Normal 3 5 3" xfId="8221" xr:uid="{00000000-0005-0000-0000-0000F91F0000}"/>
    <cellStyle name="Normal 3 6" xfId="8222" xr:uid="{00000000-0005-0000-0000-0000FA1F0000}"/>
    <cellStyle name="Normal 30" xfId="8223" xr:uid="{00000000-0005-0000-0000-0000FB1F0000}"/>
    <cellStyle name="Normal 30 2" xfId="8224" xr:uid="{00000000-0005-0000-0000-0000FC1F0000}"/>
    <cellStyle name="Normal 31" xfId="8225" xr:uid="{00000000-0005-0000-0000-0000FD1F0000}"/>
    <cellStyle name="Normal 31 2" xfId="8226" xr:uid="{00000000-0005-0000-0000-0000FE1F0000}"/>
    <cellStyle name="Normal 32" xfId="8227" xr:uid="{00000000-0005-0000-0000-0000FF1F0000}"/>
    <cellStyle name="Normal 32 2" xfId="8228" xr:uid="{00000000-0005-0000-0000-000000200000}"/>
    <cellStyle name="Normal 32 2 2" xfId="8229" xr:uid="{00000000-0005-0000-0000-000001200000}"/>
    <cellStyle name="Normal 32 3" xfId="8230" xr:uid="{00000000-0005-0000-0000-000002200000}"/>
    <cellStyle name="Normal 33" xfId="8231" xr:uid="{00000000-0005-0000-0000-000003200000}"/>
    <cellStyle name="Normal 33 2" xfId="8232" xr:uid="{00000000-0005-0000-0000-000004200000}"/>
    <cellStyle name="Normal 34" xfId="8233" xr:uid="{00000000-0005-0000-0000-000005200000}"/>
    <cellStyle name="Normal 35" xfId="8234" xr:uid="{00000000-0005-0000-0000-000006200000}"/>
    <cellStyle name="Normal 36" xfId="8235" xr:uid="{00000000-0005-0000-0000-000007200000}"/>
    <cellStyle name="Normal 36 2" xfId="8236" xr:uid="{00000000-0005-0000-0000-000008200000}"/>
    <cellStyle name="Normal 36 2 2" xfId="8237" xr:uid="{00000000-0005-0000-0000-000009200000}"/>
    <cellStyle name="Normal 36 3" xfId="8238" xr:uid="{00000000-0005-0000-0000-00000A200000}"/>
    <cellStyle name="Normal 37" xfId="8239" xr:uid="{00000000-0005-0000-0000-00000B200000}"/>
    <cellStyle name="Normal 37 2" xfId="8240" xr:uid="{00000000-0005-0000-0000-00000C200000}"/>
    <cellStyle name="Normal 38" xfId="8241" xr:uid="{00000000-0005-0000-0000-00000D200000}"/>
    <cellStyle name="Normal 39" xfId="8242" xr:uid="{00000000-0005-0000-0000-00000E200000}"/>
    <cellStyle name="Normal 4" xfId="202" xr:uid="{00000000-0005-0000-0000-00000F200000}"/>
    <cellStyle name="Normal 4 2" xfId="203" xr:uid="{00000000-0005-0000-0000-000010200000}"/>
    <cellStyle name="Normal 4 2 2" xfId="8243" xr:uid="{00000000-0005-0000-0000-000011200000}"/>
    <cellStyle name="Normal 4 2 2 2" xfId="8244" xr:uid="{00000000-0005-0000-0000-000012200000}"/>
    <cellStyle name="Normal 4 2 2 2 2" xfId="8245" xr:uid="{00000000-0005-0000-0000-000013200000}"/>
    <cellStyle name="Normal 4 2 2 2 2 2" xfId="8246" xr:uid="{00000000-0005-0000-0000-000014200000}"/>
    <cellStyle name="Normal 4 2 2 2 2 2 2" xfId="8247" xr:uid="{00000000-0005-0000-0000-000015200000}"/>
    <cellStyle name="Normal 4 2 2 2 2 3" xfId="8248" xr:uid="{00000000-0005-0000-0000-000016200000}"/>
    <cellStyle name="Normal 4 2 2 2 2 3 2" xfId="8249" xr:uid="{00000000-0005-0000-0000-000017200000}"/>
    <cellStyle name="Normal 4 2 2 2 2 4" xfId="8250" xr:uid="{00000000-0005-0000-0000-000018200000}"/>
    <cellStyle name="Normal 4 2 2 2 3" xfId="8251" xr:uid="{00000000-0005-0000-0000-000019200000}"/>
    <cellStyle name="Normal 4 2 2 2 3 2" xfId="8252" xr:uid="{00000000-0005-0000-0000-00001A200000}"/>
    <cellStyle name="Normal 4 2 2 2 3 2 2" xfId="8253" xr:uid="{00000000-0005-0000-0000-00001B200000}"/>
    <cellStyle name="Normal 4 2 2 2 3 3" xfId="8254" xr:uid="{00000000-0005-0000-0000-00001C200000}"/>
    <cellStyle name="Normal 4 2 2 2 4" xfId="8255" xr:uid="{00000000-0005-0000-0000-00001D200000}"/>
    <cellStyle name="Normal 4 2 2 2 4 2" xfId="8256" xr:uid="{00000000-0005-0000-0000-00001E200000}"/>
    <cellStyle name="Normal 4 2 2 2 5" xfId="8257" xr:uid="{00000000-0005-0000-0000-00001F200000}"/>
    <cellStyle name="Normal 4 2 2 2 5 2" xfId="8258" xr:uid="{00000000-0005-0000-0000-000020200000}"/>
    <cellStyle name="Normal 4 2 2 2 6" xfId="8259" xr:uid="{00000000-0005-0000-0000-000021200000}"/>
    <cellStyle name="Normal 4 2 2 3" xfId="8260" xr:uid="{00000000-0005-0000-0000-000022200000}"/>
    <cellStyle name="Normal 4 2 2 3 2" xfId="8261" xr:uid="{00000000-0005-0000-0000-000023200000}"/>
    <cellStyle name="Normal 4 2 2 3 2 2" xfId="8262" xr:uid="{00000000-0005-0000-0000-000024200000}"/>
    <cellStyle name="Normal 4 2 2 3 3" xfId="8263" xr:uid="{00000000-0005-0000-0000-000025200000}"/>
    <cellStyle name="Normal 4 2 2 3 3 2" xfId="8264" xr:uid="{00000000-0005-0000-0000-000026200000}"/>
    <cellStyle name="Normal 4 2 2 3 4" xfId="8265" xr:uid="{00000000-0005-0000-0000-000027200000}"/>
    <cellStyle name="Normal 4 2 2 4" xfId="8266" xr:uid="{00000000-0005-0000-0000-000028200000}"/>
    <cellStyle name="Normal 4 2 2 4 2" xfId="8267" xr:uid="{00000000-0005-0000-0000-000029200000}"/>
    <cellStyle name="Normal 4 2 2 4 2 2" xfId="8268" xr:uid="{00000000-0005-0000-0000-00002A200000}"/>
    <cellStyle name="Normal 4 2 2 4 3" xfId="8269" xr:uid="{00000000-0005-0000-0000-00002B200000}"/>
    <cellStyle name="Normal 4 2 2 5" xfId="8270" xr:uid="{00000000-0005-0000-0000-00002C200000}"/>
    <cellStyle name="Normal 4 2 2 5 2" xfId="8271" xr:uid="{00000000-0005-0000-0000-00002D200000}"/>
    <cellStyle name="Normal 4 2 2 6" xfId="8272" xr:uid="{00000000-0005-0000-0000-00002E200000}"/>
    <cellStyle name="Normal 4 2 2 6 2" xfId="8273" xr:uid="{00000000-0005-0000-0000-00002F200000}"/>
    <cellStyle name="Normal 4 2 2 7" xfId="8274" xr:uid="{00000000-0005-0000-0000-000030200000}"/>
    <cellStyle name="Normal 4 2 3" xfId="8275" xr:uid="{00000000-0005-0000-0000-000031200000}"/>
    <cellStyle name="Normal 4 2 3 2" xfId="8276" xr:uid="{00000000-0005-0000-0000-000032200000}"/>
    <cellStyle name="Normal 4 2 3 2 2" xfId="8277" xr:uid="{00000000-0005-0000-0000-000033200000}"/>
    <cellStyle name="Normal 4 2 3 2 2 2" xfId="8278" xr:uid="{00000000-0005-0000-0000-000034200000}"/>
    <cellStyle name="Normal 4 2 3 2 2 2 2" xfId="8279" xr:uid="{00000000-0005-0000-0000-000035200000}"/>
    <cellStyle name="Normal 4 2 3 2 2 3" xfId="8280" xr:uid="{00000000-0005-0000-0000-000036200000}"/>
    <cellStyle name="Normal 4 2 3 2 2 3 2" xfId="8281" xr:uid="{00000000-0005-0000-0000-000037200000}"/>
    <cellStyle name="Normal 4 2 3 2 2 4" xfId="8282" xr:uid="{00000000-0005-0000-0000-000038200000}"/>
    <cellStyle name="Normal 4 2 3 2 3" xfId="8283" xr:uid="{00000000-0005-0000-0000-000039200000}"/>
    <cellStyle name="Normal 4 2 3 2 3 2" xfId="8284" xr:uid="{00000000-0005-0000-0000-00003A200000}"/>
    <cellStyle name="Normal 4 2 3 2 3 2 2" xfId="8285" xr:uid="{00000000-0005-0000-0000-00003B200000}"/>
    <cellStyle name="Normal 4 2 3 2 3 3" xfId="8286" xr:uid="{00000000-0005-0000-0000-00003C200000}"/>
    <cellStyle name="Normal 4 2 3 2 4" xfId="8287" xr:uid="{00000000-0005-0000-0000-00003D200000}"/>
    <cellStyle name="Normal 4 2 3 2 4 2" xfId="8288" xr:uid="{00000000-0005-0000-0000-00003E200000}"/>
    <cellStyle name="Normal 4 2 3 2 5" xfId="8289" xr:uid="{00000000-0005-0000-0000-00003F200000}"/>
    <cellStyle name="Normal 4 2 3 2 5 2" xfId="8290" xr:uid="{00000000-0005-0000-0000-000040200000}"/>
    <cellStyle name="Normal 4 2 3 2 6" xfId="8291" xr:uid="{00000000-0005-0000-0000-000041200000}"/>
    <cellStyle name="Normal 4 2 3 3" xfId="8292" xr:uid="{00000000-0005-0000-0000-000042200000}"/>
    <cellStyle name="Normal 4 2 3 3 2" xfId="8293" xr:uid="{00000000-0005-0000-0000-000043200000}"/>
    <cellStyle name="Normal 4 2 3 3 2 2" xfId="8294" xr:uid="{00000000-0005-0000-0000-000044200000}"/>
    <cellStyle name="Normal 4 2 3 3 3" xfId="8295" xr:uid="{00000000-0005-0000-0000-000045200000}"/>
    <cellStyle name="Normal 4 2 3 3 3 2" xfId="8296" xr:uid="{00000000-0005-0000-0000-000046200000}"/>
    <cellStyle name="Normal 4 2 3 3 4" xfId="8297" xr:uid="{00000000-0005-0000-0000-000047200000}"/>
    <cellStyle name="Normal 4 2 3 4" xfId="8298" xr:uid="{00000000-0005-0000-0000-000048200000}"/>
    <cellStyle name="Normal 4 2 3 4 2" xfId="8299" xr:uid="{00000000-0005-0000-0000-000049200000}"/>
    <cellStyle name="Normal 4 2 3 4 2 2" xfId="8300" xr:uid="{00000000-0005-0000-0000-00004A200000}"/>
    <cellStyle name="Normal 4 2 3 4 3" xfId="8301" xr:uid="{00000000-0005-0000-0000-00004B200000}"/>
    <cellStyle name="Normal 4 2 3 5" xfId="8302" xr:uid="{00000000-0005-0000-0000-00004C200000}"/>
    <cellStyle name="Normal 4 2 3 5 2" xfId="8303" xr:uid="{00000000-0005-0000-0000-00004D200000}"/>
    <cellStyle name="Normal 4 2 3 6" xfId="8304" xr:uid="{00000000-0005-0000-0000-00004E200000}"/>
    <cellStyle name="Normal 4 2 3 6 2" xfId="8305" xr:uid="{00000000-0005-0000-0000-00004F200000}"/>
    <cellStyle name="Normal 4 2 3 7" xfId="8306" xr:uid="{00000000-0005-0000-0000-000050200000}"/>
    <cellStyle name="Normal 4 2 4" xfId="8307" xr:uid="{00000000-0005-0000-0000-000051200000}"/>
    <cellStyle name="Normal 4 2 4 2" xfId="8308" xr:uid="{00000000-0005-0000-0000-000052200000}"/>
    <cellStyle name="Normal 4 2 4 2 2" xfId="8309" xr:uid="{00000000-0005-0000-0000-000053200000}"/>
    <cellStyle name="Normal 4 2 4 2 2 2" xfId="8310" xr:uid="{00000000-0005-0000-0000-000054200000}"/>
    <cellStyle name="Normal 4 2 4 2 3" xfId="8311" xr:uid="{00000000-0005-0000-0000-000055200000}"/>
    <cellStyle name="Normal 4 2 4 2 4" xfId="8312" xr:uid="{00000000-0005-0000-0000-000056200000}"/>
    <cellStyle name="Normal 4 2 4 2 5" xfId="8313" xr:uid="{00000000-0005-0000-0000-000057200000}"/>
    <cellStyle name="Normal 4 2 4 3" xfId="8314" xr:uid="{00000000-0005-0000-0000-000058200000}"/>
    <cellStyle name="Normal 4 2 4 3 2" xfId="8315" xr:uid="{00000000-0005-0000-0000-000059200000}"/>
    <cellStyle name="Normal 4 2 4 3 2 2" xfId="8316" xr:uid="{00000000-0005-0000-0000-00005A200000}"/>
    <cellStyle name="Normal 4 2 4 3 3" xfId="8317" xr:uid="{00000000-0005-0000-0000-00005B200000}"/>
    <cellStyle name="Normal 4 2 4 4" xfId="8318" xr:uid="{00000000-0005-0000-0000-00005C200000}"/>
    <cellStyle name="Normal 4 2 4 4 2" xfId="8319" xr:uid="{00000000-0005-0000-0000-00005D200000}"/>
    <cellStyle name="Normal 4 2 4 5" xfId="8320" xr:uid="{00000000-0005-0000-0000-00005E200000}"/>
    <cellStyle name="Normal 4 2 4 6" xfId="8321" xr:uid="{00000000-0005-0000-0000-00005F200000}"/>
    <cellStyle name="Normal 4 2 4 6 2" xfId="8322" xr:uid="{00000000-0005-0000-0000-000060200000}"/>
    <cellStyle name="Normal 4 2 5" xfId="8323" xr:uid="{00000000-0005-0000-0000-000061200000}"/>
    <cellStyle name="Normal 4 2 5 2" xfId="8324" xr:uid="{00000000-0005-0000-0000-000062200000}"/>
    <cellStyle name="Normal 4 2 5 2 2" xfId="8325" xr:uid="{00000000-0005-0000-0000-000063200000}"/>
    <cellStyle name="Normal 4 2 5 3" xfId="8326" xr:uid="{00000000-0005-0000-0000-000064200000}"/>
    <cellStyle name="Normal 4 2 5 3 2" xfId="8327" xr:uid="{00000000-0005-0000-0000-000065200000}"/>
    <cellStyle name="Normal 4 2 5 4" xfId="8328" xr:uid="{00000000-0005-0000-0000-000066200000}"/>
    <cellStyle name="Normal 4 2 6" xfId="8329" xr:uid="{00000000-0005-0000-0000-000067200000}"/>
    <cellStyle name="Normal 4 2 6 2" xfId="8330" xr:uid="{00000000-0005-0000-0000-000068200000}"/>
    <cellStyle name="Normal 4 2 6 2 2" xfId="8331" xr:uid="{00000000-0005-0000-0000-000069200000}"/>
    <cellStyle name="Normal 4 2 6 3" xfId="8332" xr:uid="{00000000-0005-0000-0000-00006A200000}"/>
    <cellStyle name="Normal 4 2 7" xfId="8333" xr:uid="{00000000-0005-0000-0000-00006B200000}"/>
    <cellStyle name="Normal 4 2 7 2" xfId="8334" xr:uid="{00000000-0005-0000-0000-00006C200000}"/>
    <cellStyle name="Normal 4 2 8" xfId="8335" xr:uid="{00000000-0005-0000-0000-00006D200000}"/>
    <cellStyle name="Normal 4 2 8 2" xfId="8336" xr:uid="{00000000-0005-0000-0000-00006E200000}"/>
    <cellStyle name="Normal 4 2 9" xfId="8337" xr:uid="{00000000-0005-0000-0000-00006F200000}"/>
    <cellStyle name="Normal 4 3" xfId="8338" xr:uid="{00000000-0005-0000-0000-000070200000}"/>
    <cellStyle name="Normal 4 3 2" xfId="8339" xr:uid="{00000000-0005-0000-0000-000071200000}"/>
    <cellStyle name="Normal 4 3 2 2" xfId="8340" xr:uid="{00000000-0005-0000-0000-000072200000}"/>
    <cellStyle name="Normal 4 3 2 2 2" xfId="8341" xr:uid="{00000000-0005-0000-0000-000073200000}"/>
    <cellStyle name="Normal 4 3 2 2 2 2" xfId="8342" xr:uid="{00000000-0005-0000-0000-000074200000}"/>
    <cellStyle name="Normal 4 3 2 2 3" xfId="8343" xr:uid="{00000000-0005-0000-0000-000075200000}"/>
    <cellStyle name="Normal 4 3 2 2 3 2" xfId="8344" xr:uid="{00000000-0005-0000-0000-000076200000}"/>
    <cellStyle name="Normal 4 3 2 2 4" xfId="8345" xr:uid="{00000000-0005-0000-0000-000077200000}"/>
    <cellStyle name="Normal 4 3 2 3" xfId="8346" xr:uid="{00000000-0005-0000-0000-000078200000}"/>
    <cellStyle name="Normal 4 3 2 3 2" xfId="8347" xr:uid="{00000000-0005-0000-0000-000079200000}"/>
    <cellStyle name="Normal 4 3 2 3 2 2" xfId="8348" xr:uid="{00000000-0005-0000-0000-00007A200000}"/>
    <cellStyle name="Normal 4 3 2 3 3" xfId="8349" xr:uid="{00000000-0005-0000-0000-00007B200000}"/>
    <cellStyle name="Normal 4 3 2 4" xfId="8350" xr:uid="{00000000-0005-0000-0000-00007C200000}"/>
    <cellStyle name="Normal 4 3 2 4 2" xfId="8351" xr:uid="{00000000-0005-0000-0000-00007D200000}"/>
    <cellStyle name="Normal 4 3 2 5" xfId="8352" xr:uid="{00000000-0005-0000-0000-00007E200000}"/>
    <cellStyle name="Normal 4 3 2 5 2" xfId="8353" xr:uid="{00000000-0005-0000-0000-00007F200000}"/>
    <cellStyle name="Normal 4 3 2 6" xfId="8354" xr:uid="{00000000-0005-0000-0000-000080200000}"/>
    <cellStyle name="Normal 4 3 3" xfId="8355" xr:uid="{00000000-0005-0000-0000-000081200000}"/>
    <cellStyle name="Normal 4 3 3 2" xfId="8356" xr:uid="{00000000-0005-0000-0000-000082200000}"/>
    <cellStyle name="Normal 4 3 3 2 2" xfId="8357" xr:uid="{00000000-0005-0000-0000-000083200000}"/>
    <cellStyle name="Normal 4 3 3 3" xfId="8358" xr:uid="{00000000-0005-0000-0000-000084200000}"/>
    <cellStyle name="Normal 4 3 3 3 2" xfId="8359" xr:uid="{00000000-0005-0000-0000-000085200000}"/>
    <cellStyle name="Normal 4 3 3 4" xfId="8360" xr:uid="{00000000-0005-0000-0000-000086200000}"/>
    <cellStyle name="Normal 4 3 4" xfId="8361" xr:uid="{00000000-0005-0000-0000-000087200000}"/>
    <cellStyle name="Normal 4 3 4 2" xfId="8362" xr:uid="{00000000-0005-0000-0000-000088200000}"/>
    <cellStyle name="Normal 4 3 4 2 2" xfId="8363" xr:uid="{00000000-0005-0000-0000-000089200000}"/>
    <cellStyle name="Normal 4 3 4 3" xfId="8364" xr:uid="{00000000-0005-0000-0000-00008A200000}"/>
    <cellStyle name="Normal 4 3 5" xfId="8365" xr:uid="{00000000-0005-0000-0000-00008B200000}"/>
    <cellStyle name="Normal 4 3 5 2" xfId="8366" xr:uid="{00000000-0005-0000-0000-00008C200000}"/>
    <cellStyle name="Normal 4 3 6" xfId="8367" xr:uid="{00000000-0005-0000-0000-00008D200000}"/>
    <cellStyle name="Normal 4 3 6 2" xfId="8368" xr:uid="{00000000-0005-0000-0000-00008E200000}"/>
    <cellStyle name="Normal 4 3 7" xfId="8369" xr:uid="{00000000-0005-0000-0000-00008F200000}"/>
    <cellStyle name="Normal 4 4" xfId="8370" xr:uid="{00000000-0005-0000-0000-000090200000}"/>
    <cellStyle name="Normal 4 4 2" xfId="8371" xr:uid="{00000000-0005-0000-0000-000091200000}"/>
    <cellStyle name="Normal 4 4 2 2" xfId="8372" xr:uid="{00000000-0005-0000-0000-000092200000}"/>
    <cellStyle name="Normal 4 4 2 2 2" xfId="8373" xr:uid="{00000000-0005-0000-0000-000093200000}"/>
    <cellStyle name="Normal 4 4 2 2 2 2" xfId="8374" xr:uid="{00000000-0005-0000-0000-000094200000}"/>
    <cellStyle name="Normal 4 4 2 2 3" xfId="8375" xr:uid="{00000000-0005-0000-0000-000095200000}"/>
    <cellStyle name="Normal 4 4 2 2 3 2" xfId="8376" xr:uid="{00000000-0005-0000-0000-000096200000}"/>
    <cellStyle name="Normal 4 4 2 2 4" xfId="8377" xr:uid="{00000000-0005-0000-0000-000097200000}"/>
    <cellStyle name="Normal 4 4 2 3" xfId="8378" xr:uid="{00000000-0005-0000-0000-000098200000}"/>
    <cellStyle name="Normal 4 4 2 3 2" xfId="8379" xr:uid="{00000000-0005-0000-0000-000099200000}"/>
    <cellStyle name="Normal 4 4 2 3 2 2" xfId="8380" xr:uid="{00000000-0005-0000-0000-00009A200000}"/>
    <cellStyle name="Normal 4 4 2 3 3" xfId="8381" xr:uid="{00000000-0005-0000-0000-00009B200000}"/>
    <cellStyle name="Normal 4 4 2 4" xfId="8382" xr:uid="{00000000-0005-0000-0000-00009C200000}"/>
    <cellStyle name="Normal 4 4 2 4 2" xfId="8383" xr:uid="{00000000-0005-0000-0000-00009D200000}"/>
    <cellStyle name="Normal 4 4 2 5" xfId="8384" xr:uid="{00000000-0005-0000-0000-00009E200000}"/>
    <cellStyle name="Normal 4 4 2 5 2" xfId="8385" xr:uid="{00000000-0005-0000-0000-00009F200000}"/>
    <cellStyle name="Normal 4 4 2 6" xfId="8386" xr:uid="{00000000-0005-0000-0000-0000A0200000}"/>
    <cellStyle name="Normal 4 4 3" xfId="8387" xr:uid="{00000000-0005-0000-0000-0000A1200000}"/>
    <cellStyle name="Normal 4 4 3 2" xfId="8388" xr:uid="{00000000-0005-0000-0000-0000A2200000}"/>
    <cellStyle name="Normal 4 4 3 2 2" xfId="8389" xr:uid="{00000000-0005-0000-0000-0000A3200000}"/>
    <cellStyle name="Normal 4 4 3 3" xfId="8390" xr:uid="{00000000-0005-0000-0000-0000A4200000}"/>
    <cellStyle name="Normal 4 4 3 3 2" xfId="8391" xr:uid="{00000000-0005-0000-0000-0000A5200000}"/>
    <cellStyle name="Normal 4 4 3 4" xfId="8392" xr:uid="{00000000-0005-0000-0000-0000A6200000}"/>
    <cellStyle name="Normal 4 4 4" xfId="8393" xr:uid="{00000000-0005-0000-0000-0000A7200000}"/>
    <cellStyle name="Normal 4 4 4 2" xfId="8394" xr:uid="{00000000-0005-0000-0000-0000A8200000}"/>
    <cellStyle name="Normal 4 4 4 2 2" xfId="8395" xr:uid="{00000000-0005-0000-0000-0000A9200000}"/>
    <cellStyle name="Normal 4 4 4 3" xfId="8396" xr:uid="{00000000-0005-0000-0000-0000AA200000}"/>
    <cellStyle name="Normal 4 4 5" xfId="8397" xr:uid="{00000000-0005-0000-0000-0000AB200000}"/>
    <cellStyle name="Normal 4 4 5 2" xfId="8398" xr:uid="{00000000-0005-0000-0000-0000AC200000}"/>
    <cellStyle name="Normal 4 4 6" xfId="8399" xr:uid="{00000000-0005-0000-0000-0000AD200000}"/>
    <cellStyle name="Normal 4 4 6 2" xfId="8400" xr:uid="{00000000-0005-0000-0000-0000AE200000}"/>
    <cellStyle name="Normal 4 4 7" xfId="8401" xr:uid="{00000000-0005-0000-0000-0000AF200000}"/>
    <cellStyle name="Normal 4 5" xfId="8402" xr:uid="{00000000-0005-0000-0000-0000B0200000}"/>
    <cellStyle name="Normal 40" xfId="8403" xr:uid="{00000000-0005-0000-0000-0000B1200000}"/>
    <cellStyle name="Normal 40 2" xfId="8404" xr:uid="{00000000-0005-0000-0000-0000B2200000}"/>
    <cellStyle name="Normal 41" xfId="8405" xr:uid="{00000000-0005-0000-0000-0000B3200000}"/>
    <cellStyle name="Normal 41 2" xfId="8406" xr:uid="{00000000-0005-0000-0000-0000B4200000}"/>
    <cellStyle name="Normal 41 2 2" xfId="8407" xr:uid="{00000000-0005-0000-0000-0000B5200000}"/>
    <cellStyle name="Normal 41 2 2 2" xfId="8408" xr:uid="{00000000-0005-0000-0000-0000B6200000}"/>
    <cellStyle name="Normal 41 2 2 2 2" xfId="8409" xr:uid="{00000000-0005-0000-0000-0000B7200000}"/>
    <cellStyle name="Normal 41 2 2 2 2 2" xfId="8410" xr:uid="{00000000-0005-0000-0000-0000B8200000}"/>
    <cellStyle name="Normal 41 2 2 2 3" xfId="8411" xr:uid="{00000000-0005-0000-0000-0000B9200000}"/>
    <cellStyle name="Normal 41 2 2 2 3 2" xfId="8412" xr:uid="{00000000-0005-0000-0000-0000BA200000}"/>
    <cellStyle name="Normal 41 2 2 2 4" xfId="8413" xr:uid="{00000000-0005-0000-0000-0000BB200000}"/>
    <cellStyle name="Normal 41 2 2 3" xfId="8414" xr:uid="{00000000-0005-0000-0000-0000BC200000}"/>
    <cellStyle name="Normal 41 2 2 3 2" xfId="8415" xr:uid="{00000000-0005-0000-0000-0000BD200000}"/>
    <cellStyle name="Normal 41 2 2 3 2 2" xfId="8416" xr:uid="{00000000-0005-0000-0000-0000BE200000}"/>
    <cellStyle name="Normal 41 2 2 3 3" xfId="8417" xr:uid="{00000000-0005-0000-0000-0000BF200000}"/>
    <cellStyle name="Normal 41 2 2 4" xfId="8418" xr:uid="{00000000-0005-0000-0000-0000C0200000}"/>
    <cellStyle name="Normal 41 2 2 4 2" xfId="8419" xr:uid="{00000000-0005-0000-0000-0000C1200000}"/>
    <cellStyle name="Normal 41 2 2 5" xfId="8420" xr:uid="{00000000-0005-0000-0000-0000C2200000}"/>
    <cellStyle name="Normal 41 2 2 5 2" xfId="8421" xr:uid="{00000000-0005-0000-0000-0000C3200000}"/>
    <cellStyle name="Normal 41 2 2 6" xfId="8422" xr:uid="{00000000-0005-0000-0000-0000C4200000}"/>
    <cellStyle name="Normal 41 2 3" xfId="8423" xr:uid="{00000000-0005-0000-0000-0000C5200000}"/>
    <cellStyle name="Normal 41 2 3 2" xfId="8424" xr:uid="{00000000-0005-0000-0000-0000C6200000}"/>
    <cellStyle name="Normal 41 2 3 2 2" xfId="8425" xr:uid="{00000000-0005-0000-0000-0000C7200000}"/>
    <cellStyle name="Normal 41 2 3 3" xfId="8426" xr:uid="{00000000-0005-0000-0000-0000C8200000}"/>
    <cellStyle name="Normal 41 2 3 3 2" xfId="8427" xr:uid="{00000000-0005-0000-0000-0000C9200000}"/>
    <cellStyle name="Normal 41 2 3 4" xfId="8428" xr:uid="{00000000-0005-0000-0000-0000CA200000}"/>
    <cellStyle name="Normal 41 2 4" xfId="8429" xr:uid="{00000000-0005-0000-0000-0000CB200000}"/>
    <cellStyle name="Normal 41 2 4 2" xfId="8430" xr:uid="{00000000-0005-0000-0000-0000CC200000}"/>
    <cellStyle name="Normal 41 2 4 2 2" xfId="8431" xr:uid="{00000000-0005-0000-0000-0000CD200000}"/>
    <cellStyle name="Normal 41 2 4 3" xfId="8432" xr:uid="{00000000-0005-0000-0000-0000CE200000}"/>
    <cellStyle name="Normal 41 2 5" xfId="8433" xr:uid="{00000000-0005-0000-0000-0000CF200000}"/>
    <cellStyle name="Normal 41 2 5 2" xfId="8434" xr:uid="{00000000-0005-0000-0000-0000D0200000}"/>
    <cellStyle name="Normal 41 2 6" xfId="8435" xr:uid="{00000000-0005-0000-0000-0000D1200000}"/>
    <cellStyle name="Normal 41 2 6 2" xfId="8436" xr:uid="{00000000-0005-0000-0000-0000D2200000}"/>
    <cellStyle name="Normal 41 2 7" xfId="8437" xr:uid="{00000000-0005-0000-0000-0000D3200000}"/>
    <cellStyle name="Normal 41 3" xfId="8438" xr:uid="{00000000-0005-0000-0000-0000D4200000}"/>
    <cellStyle name="Normal 41 3 2" xfId="8439" xr:uid="{00000000-0005-0000-0000-0000D5200000}"/>
    <cellStyle name="Normal 41 3 2 2" xfId="8440" xr:uid="{00000000-0005-0000-0000-0000D6200000}"/>
    <cellStyle name="Normal 41 3 2 2 2" xfId="8441" xr:uid="{00000000-0005-0000-0000-0000D7200000}"/>
    <cellStyle name="Normal 41 3 2 3" xfId="8442" xr:uid="{00000000-0005-0000-0000-0000D8200000}"/>
    <cellStyle name="Normal 41 3 2 3 2" xfId="8443" xr:uid="{00000000-0005-0000-0000-0000D9200000}"/>
    <cellStyle name="Normal 41 3 2 4" xfId="8444" xr:uid="{00000000-0005-0000-0000-0000DA200000}"/>
    <cellStyle name="Normal 41 3 3" xfId="8445" xr:uid="{00000000-0005-0000-0000-0000DB200000}"/>
    <cellStyle name="Normal 41 3 3 2" xfId="8446" xr:uid="{00000000-0005-0000-0000-0000DC200000}"/>
    <cellStyle name="Normal 41 3 3 2 2" xfId="8447" xr:uid="{00000000-0005-0000-0000-0000DD200000}"/>
    <cellStyle name="Normal 41 3 3 3" xfId="8448" xr:uid="{00000000-0005-0000-0000-0000DE200000}"/>
    <cellStyle name="Normal 41 3 4" xfId="8449" xr:uid="{00000000-0005-0000-0000-0000DF200000}"/>
    <cellStyle name="Normal 41 3 4 2" xfId="8450" xr:uid="{00000000-0005-0000-0000-0000E0200000}"/>
    <cellStyle name="Normal 41 3 5" xfId="8451" xr:uid="{00000000-0005-0000-0000-0000E1200000}"/>
    <cellStyle name="Normal 41 3 5 2" xfId="8452" xr:uid="{00000000-0005-0000-0000-0000E2200000}"/>
    <cellStyle name="Normal 41 3 6" xfId="8453" xr:uid="{00000000-0005-0000-0000-0000E3200000}"/>
    <cellStyle name="Normal 41 4" xfId="8454" xr:uid="{00000000-0005-0000-0000-0000E4200000}"/>
    <cellStyle name="Normal 41 4 2" xfId="8455" xr:uid="{00000000-0005-0000-0000-0000E5200000}"/>
    <cellStyle name="Normal 41 4 2 2" xfId="8456" xr:uid="{00000000-0005-0000-0000-0000E6200000}"/>
    <cellStyle name="Normal 41 4 3" xfId="8457" xr:uid="{00000000-0005-0000-0000-0000E7200000}"/>
    <cellStyle name="Normal 41 4 3 2" xfId="8458" xr:uid="{00000000-0005-0000-0000-0000E8200000}"/>
    <cellStyle name="Normal 41 4 4" xfId="8459" xr:uid="{00000000-0005-0000-0000-0000E9200000}"/>
    <cellStyle name="Normal 41 5" xfId="8460" xr:uid="{00000000-0005-0000-0000-0000EA200000}"/>
    <cellStyle name="Normal 41 5 2" xfId="8461" xr:uid="{00000000-0005-0000-0000-0000EB200000}"/>
    <cellStyle name="Normal 41 5 2 2" xfId="8462" xr:uid="{00000000-0005-0000-0000-0000EC200000}"/>
    <cellStyle name="Normal 41 5 3" xfId="8463" xr:uid="{00000000-0005-0000-0000-0000ED200000}"/>
    <cellStyle name="Normal 41 6" xfId="8464" xr:uid="{00000000-0005-0000-0000-0000EE200000}"/>
    <cellStyle name="Normal 41 6 2" xfId="8465" xr:uid="{00000000-0005-0000-0000-0000EF200000}"/>
    <cellStyle name="Normal 41 7" xfId="8466" xr:uid="{00000000-0005-0000-0000-0000F0200000}"/>
    <cellStyle name="Normal 41 7 2" xfId="8467" xr:uid="{00000000-0005-0000-0000-0000F1200000}"/>
    <cellStyle name="Normal 41 8" xfId="8468" xr:uid="{00000000-0005-0000-0000-0000F2200000}"/>
    <cellStyle name="Normal 42" xfId="8469" xr:uid="{00000000-0005-0000-0000-0000F3200000}"/>
    <cellStyle name="Normal 42 2" xfId="8470" xr:uid="{00000000-0005-0000-0000-0000F4200000}"/>
    <cellStyle name="Normal 42 2 2" xfId="8471" xr:uid="{00000000-0005-0000-0000-0000F5200000}"/>
    <cellStyle name="Normal 42 2 2 2" xfId="8472" xr:uid="{00000000-0005-0000-0000-0000F6200000}"/>
    <cellStyle name="Normal 42 2 2 2 2" xfId="8473" xr:uid="{00000000-0005-0000-0000-0000F7200000}"/>
    <cellStyle name="Normal 42 2 2 2 2 2" xfId="8474" xr:uid="{00000000-0005-0000-0000-0000F8200000}"/>
    <cellStyle name="Normal 42 2 2 2 3" xfId="8475" xr:uid="{00000000-0005-0000-0000-0000F9200000}"/>
    <cellStyle name="Normal 42 2 2 2 3 2" xfId="8476" xr:uid="{00000000-0005-0000-0000-0000FA200000}"/>
    <cellStyle name="Normal 42 2 2 2 4" xfId="8477" xr:uid="{00000000-0005-0000-0000-0000FB200000}"/>
    <cellStyle name="Normal 42 2 2 3" xfId="8478" xr:uid="{00000000-0005-0000-0000-0000FC200000}"/>
    <cellStyle name="Normal 42 2 2 3 2" xfId="8479" xr:uid="{00000000-0005-0000-0000-0000FD200000}"/>
    <cellStyle name="Normal 42 2 2 3 2 2" xfId="8480" xr:uid="{00000000-0005-0000-0000-0000FE200000}"/>
    <cellStyle name="Normal 42 2 2 3 3" xfId="8481" xr:uid="{00000000-0005-0000-0000-0000FF200000}"/>
    <cellStyle name="Normal 42 2 2 4" xfId="8482" xr:uid="{00000000-0005-0000-0000-000000210000}"/>
    <cellStyle name="Normal 42 2 2 4 2" xfId="8483" xr:uid="{00000000-0005-0000-0000-000001210000}"/>
    <cellStyle name="Normal 42 2 2 5" xfId="8484" xr:uid="{00000000-0005-0000-0000-000002210000}"/>
    <cellStyle name="Normal 42 2 2 5 2" xfId="8485" xr:uid="{00000000-0005-0000-0000-000003210000}"/>
    <cellStyle name="Normal 42 2 2 6" xfId="8486" xr:uid="{00000000-0005-0000-0000-000004210000}"/>
    <cellStyle name="Normal 42 2 3" xfId="8487" xr:uid="{00000000-0005-0000-0000-000005210000}"/>
    <cellStyle name="Normal 42 2 3 2" xfId="8488" xr:uid="{00000000-0005-0000-0000-000006210000}"/>
    <cellStyle name="Normal 42 2 3 2 2" xfId="8489" xr:uid="{00000000-0005-0000-0000-000007210000}"/>
    <cellStyle name="Normal 42 2 3 3" xfId="8490" xr:uid="{00000000-0005-0000-0000-000008210000}"/>
    <cellStyle name="Normal 42 2 3 3 2" xfId="8491" xr:uid="{00000000-0005-0000-0000-000009210000}"/>
    <cellStyle name="Normal 42 2 3 4" xfId="8492" xr:uid="{00000000-0005-0000-0000-00000A210000}"/>
    <cellStyle name="Normal 42 2 4" xfId="8493" xr:uid="{00000000-0005-0000-0000-00000B210000}"/>
    <cellStyle name="Normal 42 2 4 2" xfId="8494" xr:uid="{00000000-0005-0000-0000-00000C210000}"/>
    <cellStyle name="Normal 42 2 4 2 2" xfId="8495" xr:uid="{00000000-0005-0000-0000-00000D210000}"/>
    <cellStyle name="Normal 42 2 4 3" xfId="8496" xr:uid="{00000000-0005-0000-0000-00000E210000}"/>
    <cellStyle name="Normal 42 2 5" xfId="8497" xr:uid="{00000000-0005-0000-0000-00000F210000}"/>
    <cellStyle name="Normal 42 2 5 2" xfId="8498" xr:uid="{00000000-0005-0000-0000-000010210000}"/>
    <cellStyle name="Normal 42 2 6" xfId="8499" xr:uid="{00000000-0005-0000-0000-000011210000}"/>
    <cellStyle name="Normal 42 2 6 2" xfId="8500" xr:uid="{00000000-0005-0000-0000-000012210000}"/>
    <cellStyle name="Normal 42 2 7" xfId="8501" xr:uid="{00000000-0005-0000-0000-000013210000}"/>
    <cellStyle name="Normal 42 3" xfId="8502" xr:uid="{00000000-0005-0000-0000-000014210000}"/>
    <cellStyle name="Normal 42 3 2" xfId="8503" xr:uid="{00000000-0005-0000-0000-000015210000}"/>
    <cellStyle name="Normal 42 3 2 2" xfId="8504" xr:uid="{00000000-0005-0000-0000-000016210000}"/>
    <cellStyle name="Normal 42 3 2 2 2" xfId="8505" xr:uid="{00000000-0005-0000-0000-000017210000}"/>
    <cellStyle name="Normal 42 3 2 3" xfId="8506" xr:uid="{00000000-0005-0000-0000-000018210000}"/>
    <cellStyle name="Normal 42 3 2 3 2" xfId="8507" xr:uid="{00000000-0005-0000-0000-000019210000}"/>
    <cellStyle name="Normal 42 3 2 4" xfId="8508" xr:uid="{00000000-0005-0000-0000-00001A210000}"/>
    <cellStyle name="Normal 42 3 3" xfId="8509" xr:uid="{00000000-0005-0000-0000-00001B210000}"/>
    <cellStyle name="Normal 42 3 3 2" xfId="8510" xr:uid="{00000000-0005-0000-0000-00001C210000}"/>
    <cellStyle name="Normal 42 3 3 2 2" xfId="8511" xr:uid="{00000000-0005-0000-0000-00001D210000}"/>
    <cellStyle name="Normal 42 3 3 3" xfId="8512" xr:uid="{00000000-0005-0000-0000-00001E210000}"/>
    <cellStyle name="Normal 42 3 4" xfId="8513" xr:uid="{00000000-0005-0000-0000-00001F210000}"/>
    <cellStyle name="Normal 42 3 4 2" xfId="8514" xr:uid="{00000000-0005-0000-0000-000020210000}"/>
    <cellStyle name="Normal 42 3 5" xfId="8515" xr:uid="{00000000-0005-0000-0000-000021210000}"/>
    <cellStyle name="Normal 42 3 5 2" xfId="8516" xr:uid="{00000000-0005-0000-0000-000022210000}"/>
    <cellStyle name="Normal 42 3 6" xfId="8517" xr:uid="{00000000-0005-0000-0000-000023210000}"/>
    <cellStyle name="Normal 42 4" xfId="8518" xr:uid="{00000000-0005-0000-0000-000024210000}"/>
    <cellStyle name="Normal 42 4 2" xfId="8519" xr:uid="{00000000-0005-0000-0000-000025210000}"/>
    <cellStyle name="Normal 42 4 2 2" xfId="8520" xr:uid="{00000000-0005-0000-0000-000026210000}"/>
    <cellStyle name="Normal 42 4 3" xfId="8521" xr:uid="{00000000-0005-0000-0000-000027210000}"/>
    <cellStyle name="Normal 42 4 3 2" xfId="8522" xr:uid="{00000000-0005-0000-0000-000028210000}"/>
    <cellStyle name="Normal 42 4 4" xfId="8523" xr:uid="{00000000-0005-0000-0000-000029210000}"/>
    <cellStyle name="Normal 42 5" xfId="8524" xr:uid="{00000000-0005-0000-0000-00002A210000}"/>
    <cellStyle name="Normal 42 5 2" xfId="8525" xr:uid="{00000000-0005-0000-0000-00002B210000}"/>
    <cellStyle name="Normal 42 5 2 2" xfId="8526" xr:uid="{00000000-0005-0000-0000-00002C210000}"/>
    <cellStyle name="Normal 42 5 3" xfId="8527" xr:uid="{00000000-0005-0000-0000-00002D210000}"/>
    <cellStyle name="Normal 42 6" xfId="8528" xr:uid="{00000000-0005-0000-0000-00002E210000}"/>
    <cellStyle name="Normal 42 6 2" xfId="8529" xr:uid="{00000000-0005-0000-0000-00002F210000}"/>
    <cellStyle name="Normal 42 7" xfId="8530" xr:uid="{00000000-0005-0000-0000-000030210000}"/>
    <cellStyle name="Normal 42 7 2" xfId="8531" xr:uid="{00000000-0005-0000-0000-000031210000}"/>
    <cellStyle name="Normal 42 8" xfId="8532" xr:uid="{00000000-0005-0000-0000-000032210000}"/>
    <cellStyle name="Normal 43" xfId="8533" xr:uid="{00000000-0005-0000-0000-000033210000}"/>
    <cellStyle name="Normal 43 2" xfId="8534" xr:uid="{00000000-0005-0000-0000-000034210000}"/>
    <cellStyle name="Normal 43 2 2" xfId="8535" xr:uid="{00000000-0005-0000-0000-000035210000}"/>
    <cellStyle name="Normal 43 2 2 2" xfId="8536" xr:uid="{00000000-0005-0000-0000-000036210000}"/>
    <cellStyle name="Normal 43 2 2 2 2" xfId="8537" xr:uid="{00000000-0005-0000-0000-000037210000}"/>
    <cellStyle name="Normal 43 2 2 2 2 2" xfId="8538" xr:uid="{00000000-0005-0000-0000-000038210000}"/>
    <cellStyle name="Normal 43 2 2 2 3" xfId="8539" xr:uid="{00000000-0005-0000-0000-000039210000}"/>
    <cellStyle name="Normal 43 2 2 2 3 2" xfId="8540" xr:uid="{00000000-0005-0000-0000-00003A210000}"/>
    <cellStyle name="Normal 43 2 2 2 4" xfId="8541" xr:uid="{00000000-0005-0000-0000-00003B210000}"/>
    <cellStyle name="Normal 43 2 2 3" xfId="8542" xr:uid="{00000000-0005-0000-0000-00003C210000}"/>
    <cellStyle name="Normal 43 2 2 3 2" xfId="8543" xr:uid="{00000000-0005-0000-0000-00003D210000}"/>
    <cellStyle name="Normal 43 2 2 3 2 2" xfId="8544" xr:uid="{00000000-0005-0000-0000-00003E210000}"/>
    <cellStyle name="Normal 43 2 2 3 3" xfId="8545" xr:uid="{00000000-0005-0000-0000-00003F210000}"/>
    <cellStyle name="Normal 43 2 2 4" xfId="8546" xr:uid="{00000000-0005-0000-0000-000040210000}"/>
    <cellStyle name="Normal 43 2 2 4 2" xfId="8547" xr:uid="{00000000-0005-0000-0000-000041210000}"/>
    <cellStyle name="Normal 43 2 2 5" xfId="8548" xr:uid="{00000000-0005-0000-0000-000042210000}"/>
    <cellStyle name="Normal 43 2 2 5 2" xfId="8549" xr:uid="{00000000-0005-0000-0000-000043210000}"/>
    <cellStyle name="Normal 43 2 2 6" xfId="8550" xr:uid="{00000000-0005-0000-0000-000044210000}"/>
    <cellStyle name="Normal 43 2 3" xfId="8551" xr:uid="{00000000-0005-0000-0000-000045210000}"/>
    <cellStyle name="Normal 43 2 3 2" xfId="8552" xr:uid="{00000000-0005-0000-0000-000046210000}"/>
    <cellStyle name="Normal 43 2 3 2 2" xfId="8553" xr:uid="{00000000-0005-0000-0000-000047210000}"/>
    <cellStyle name="Normal 43 2 3 3" xfId="8554" xr:uid="{00000000-0005-0000-0000-000048210000}"/>
    <cellStyle name="Normal 43 2 3 3 2" xfId="8555" xr:uid="{00000000-0005-0000-0000-000049210000}"/>
    <cellStyle name="Normal 43 2 3 4" xfId="8556" xr:uid="{00000000-0005-0000-0000-00004A210000}"/>
    <cellStyle name="Normal 43 2 4" xfId="8557" xr:uid="{00000000-0005-0000-0000-00004B210000}"/>
    <cellStyle name="Normal 43 2 4 2" xfId="8558" xr:uid="{00000000-0005-0000-0000-00004C210000}"/>
    <cellStyle name="Normal 43 2 4 2 2" xfId="8559" xr:uid="{00000000-0005-0000-0000-00004D210000}"/>
    <cellStyle name="Normal 43 2 4 3" xfId="8560" xr:uid="{00000000-0005-0000-0000-00004E210000}"/>
    <cellStyle name="Normal 43 2 5" xfId="8561" xr:uid="{00000000-0005-0000-0000-00004F210000}"/>
    <cellStyle name="Normal 43 2 5 2" xfId="8562" xr:uid="{00000000-0005-0000-0000-000050210000}"/>
    <cellStyle name="Normal 43 2 6" xfId="8563" xr:uid="{00000000-0005-0000-0000-000051210000}"/>
    <cellStyle name="Normal 43 2 6 2" xfId="8564" xr:uid="{00000000-0005-0000-0000-000052210000}"/>
    <cellStyle name="Normal 43 2 7" xfId="8565" xr:uid="{00000000-0005-0000-0000-000053210000}"/>
    <cellStyle name="Normal 43 3" xfId="8566" xr:uid="{00000000-0005-0000-0000-000054210000}"/>
    <cellStyle name="Normal 43 3 2" xfId="8567" xr:uid="{00000000-0005-0000-0000-000055210000}"/>
    <cellStyle name="Normal 43 3 2 2" xfId="8568" xr:uid="{00000000-0005-0000-0000-000056210000}"/>
    <cellStyle name="Normal 43 3 2 2 2" xfId="8569" xr:uid="{00000000-0005-0000-0000-000057210000}"/>
    <cellStyle name="Normal 43 3 2 3" xfId="8570" xr:uid="{00000000-0005-0000-0000-000058210000}"/>
    <cellStyle name="Normal 43 3 2 3 2" xfId="8571" xr:uid="{00000000-0005-0000-0000-000059210000}"/>
    <cellStyle name="Normal 43 3 2 4" xfId="8572" xr:uid="{00000000-0005-0000-0000-00005A210000}"/>
    <cellStyle name="Normal 43 3 3" xfId="8573" xr:uid="{00000000-0005-0000-0000-00005B210000}"/>
    <cellStyle name="Normal 43 3 3 2" xfId="8574" xr:uid="{00000000-0005-0000-0000-00005C210000}"/>
    <cellStyle name="Normal 43 3 3 2 2" xfId="8575" xr:uid="{00000000-0005-0000-0000-00005D210000}"/>
    <cellStyle name="Normal 43 3 3 3" xfId="8576" xr:uid="{00000000-0005-0000-0000-00005E210000}"/>
    <cellStyle name="Normal 43 3 4" xfId="8577" xr:uid="{00000000-0005-0000-0000-00005F210000}"/>
    <cellStyle name="Normal 43 3 4 2" xfId="8578" xr:uid="{00000000-0005-0000-0000-000060210000}"/>
    <cellStyle name="Normal 43 3 5" xfId="8579" xr:uid="{00000000-0005-0000-0000-000061210000}"/>
    <cellStyle name="Normal 43 3 5 2" xfId="8580" xr:uid="{00000000-0005-0000-0000-000062210000}"/>
    <cellStyle name="Normal 43 3 6" xfId="8581" xr:uid="{00000000-0005-0000-0000-000063210000}"/>
    <cellStyle name="Normal 43 4" xfId="8582" xr:uid="{00000000-0005-0000-0000-000064210000}"/>
    <cellStyle name="Normal 43 4 2" xfId="8583" xr:uid="{00000000-0005-0000-0000-000065210000}"/>
    <cellStyle name="Normal 43 4 2 2" xfId="8584" xr:uid="{00000000-0005-0000-0000-000066210000}"/>
    <cellStyle name="Normal 43 4 3" xfId="8585" xr:uid="{00000000-0005-0000-0000-000067210000}"/>
    <cellStyle name="Normal 43 4 3 2" xfId="8586" xr:uid="{00000000-0005-0000-0000-000068210000}"/>
    <cellStyle name="Normal 43 4 4" xfId="8587" xr:uid="{00000000-0005-0000-0000-000069210000}"/>
    <cellStyle name="Normal 43 5" xfId="8588" xr:uid="{00000000-0005-0000-0000-00006A210000}"/>
    <cellStyle name="Normal 43 5 2" xfId="8589" xr:uid="{00000000-0005-0000-0000-00006B210000}"/>
    <cellStyle name="Normal 43 5 2 2" xfId="8590" xr:uid="{00000000-0005-0000-0000-00006C210000}"/>
    <cellStyle name="Normal 43 5 3" xfId="8591" xr:uid="{00000000-0005-0000-0000-00006D210000}"/>
    <cellStyle name="Normal 43 6" xfId="8592" xr:uid="{00000000-0005-0000-0000-00006E210000}"/>
    <cellStyle name="Normal 43 6 2" xfId="8593" xr:uid="{00000000-0005-0000-0000-00006F210000}"/>
    <cellStyle name="Normal 43 7" xfId="8594" xr:uid="{00000000-0005-0000-0000-000070210000}"/>
    <cellStyle name="Normal 43 7 2" xfId="8595" xr:uid="{00000000-0005-0000-0000-000071210000}"/>
    <cellStyle name="Normal 43 8" xfId="8596" xr:uid="{00000000-0005-0000-0000-000072210000}"/>
    <cellStyle name="Normal 44" xfId="8597" xr:uid="{00000000-0005-0000-0000-000073210000}"/>
    <cellStyle name="Normal 44 2" xfId="8598" xr:uid="{00000000-0005-0000-0000-000074210000}"/>
    <cellStyle name="Normal 44 2 2" xfId="8599" xr:uid="{00000000-0005-0000-0000-000075210000}"/>
    <cellStyle name="Normal 44 2 2 2" xfId="8600" xr:uid="{00000000-0005-0000-0000-000076210000}"/>
    <cellStyle name="Normal 44 2 2 2 2" xfId="8601" xr:uid="{00000000-0005-0000-0000-000077210000}"/>
    <cellStyle name="Normal 44 2 2 2 2 2" xfId="8602" xr:uid="{00000000-0005-0000-0000-000078210000}"/>
    <cellStyle name="Normal 44 2 2 2 3" xfId="8603" xr:uid="{00000000-0005-0000-0000-000079210000}"/>
    <cellStyle name="Normal 44 2 2 2 3 2" xfId="8604" xr:uid="{00000000-0005-0000-0000-00007A210000}"/>
    <cellStyle name="Normal 44 2 2 2 4" xfId="8605" xr:uid="{00000000-0005-0000-0000-00007B210000}"/>
    <cellStyle name="Normal 44 2 2 3" xfId="8606" xr:uid="{00000000-0005-0000-0000-00007C210000}"/>
    <cellStyle name="Normal 44 2 2 3 2" xfId="8607" xr:uid="{00000000-0005-0000-0000-00007D210000}"/>
    <cellStyle name="Normal 44 2 2 3 2 2" xfId="8608" xr:uid="{00000000-0005-0000-0000-00007E210000}"/>
    <cellStyle name="Normal 44 2 2 3 3" xfId="8609" xr:uid="{00000000-0005-0000-0000-00007F210000}"/>
    <cellStyle name="Normal 44 2 2 4" xfId="8610" xr:uid="{00000000-0005-0000-0000-000080210000}"/>
    <cellStyle name="Normal 44 2 2 4 2" xfId="8611" xr:uid="{00000000-0005-0000-0000-000081210000}"/>
    <cellStyle name="Normal 44 2 2 5" xfId="8612" xr:uid="{00000000-0005-0000-0000-000082210000}"/>
    <cellStyle name="Normal 44 2 2 5 2" xfId="8613" xr:uid="{00000000-0005-0000-0000-000083210000}"/>
    <cellStyle name="Normal 44 2 2 6" xfId="8614" xr:uid="{00000000-0005-0000-0000-000084210000}"/>
    <cellStyle name="Normal 44 2 3" xfId="8615" xr:uid="{00000000-0005-0000-0000-000085210000}"/>
    <cellStyle name="Normal 44 2 3 2" xfId="8616" xr:uid="{00000000-0005-0000-0000-000086210000}"/>
    <cellStyle name="Normal 44 2 3 2 2" xfId="8617" xr:uid="{00000000-0005-0000-0000-000087210000}"/>
    <cellStyle name="Normal 44 2 3 3" xfId="8618" xr:uid="{00000000-0005-0000-0000-000088210000}"/>
    <cellStyle name="Normal 44 2 3 3 2" xfId="8619" xr:uid="{00000000-0005-0000-0000-000089210000}"/>
    <cellStyle name="Normal 44 2 3 4" xfId="8620" xr:uid="{00000000-0005-0000-0000-00008A210000}"/>
    <cellStyle name="Normal 44 2 4" xfId="8621" xr:uid="{00000000-0005-0000-0000-00008B210000}"/>
    <cellStyle name="Normal 44 2 4 2" xfId="8622" xr:uid="{00000000-0005-0000-0000-00008C210000}"/>
    <cellStyle name="Normal 44 2 4 2 2" xfId="8623" xr:uid="{00000000-0005-0000-0000-00008D210000}"/>
    <cellStyle name="Normal 44 2 4 3" xfId="8624" xr:uid="{00000000-0005-0000-0000-00008E210000}"/>
    <cellStyle name="Normal 44 2 5" xfId="8625" xr:uid="{00000000-0005-0000-0000-00008F210000}"/>
    <cellStyle name="Normal 44 2 5 2" xfId="8626" xr:uid="{00000000-0005-0000-0000-000090210000}"/>
    <cellStyle name="Normal 44 2 6" xfId="8627" xr:uid="{00000000-0005-0000-0000-000091210000}"/>
    <cellStyle name="Normal 44 2 6 2" xfId="8628" xr:uid="{00000000-0005-0000-0000-000092210000}"/>
    <cellStyle name="Normal 44 2 7" xfId="8629" xr:uid="{00000000-0005-0000-0000-000093210000}"/>
    <cellStyle name="Normal 44 3" xfId="8630" xr:uid="{00000000-0005-0000-0000-000094210000}"/>
    <cellStyle name="Normal 44 3 2" xfId="8631" xr:uid="{00000000-0005-0000-0000-000095210000}"/>
    <cellStyle name="Normal 44 3 2 2" xfId="8632" xr:uid="{00000000-0005-0000-0000-000096210000}"/>
    <cellStyle name="Normal 44 3 2 2 2" xfId="8633" xr:uid="{00000000-0005-0000-0000-000097210000}"/>
    <cellStyle name="Normal 44 3 2 3" xfId="8634" xr:uid="{00000000-0005-0000-0000-000098210000}"/>
    <cellStyle name="Normal 44 3 2 3 2" xfId="8635" xr:uid="{00000000-0005-0000-0000-000099210000}"/>
    <cellStyle name="Normal 44 3 2 4" xfId="8636" xr:uid="{00000000-0005-0000-0000-00009A210000}"/>
    <cellStyle name="Normal 44 3 3" xfId="8637" xr:uid="{00000000-0005-0000-0000-00009B210000}"/>
    <cellStyle name="Normal 44 3 3 2" xfId="8638" xr:uid="{00000000-0005-0000-0000-00009C210000}"/>
    <cellStyle name="Normal 44 3 3 2 2" xfId="8639" xr:uid="{00000000-0005-0000-0000-00009D210000}"/>
    <cellStyle name="Normal 44 3 3 3" xfId="8640" xr:uid="{00000000-0005-0000-0000-00009E210000}"/>
    <cellStyle name="Normal 44 3 4" xfId="8641" xr:uid="{00000000-0005-0000-0000-00009F210000}"/>
    <cellStyle name="Normal 44 3 4 2" xfId="8642" xr:uid="{00000000-0005-0000-0000-0000A0210000}"/>
    <cellStyle name="Normal 44 3 5" xfId="8643" xr:uid="{00000000-0005-0000-0000-0000A1210000}"/>
    <cellStyle name="Normal 44 3 5 2" xfId="8644" xr:uid="{00000000-0005-0000-0000-0000A2210000}"/>
    <cellStyle name="Normal 44 3 6" xfId="8645" xr:uid="{00000000-0005-0000-0000-0000A3210000}"/>
    <cellStyle name="Normal 44 4" xfId="8646" xr:uid="{00000000-0005-0000-0000-0000A4210000}"/>
    <cellStyle name="Normal 44 4 2" xfId="8647" xr:uid="{00000000-0005-0000-0000-0000A5210000}"/>
    <cellStyle name="Normal 44 4 2 2" xfId="8648" xr:uid="{00000000-0005-0000-0000-0000A6210000}"/>
    <cellStyle name="Normal 44 4 3" xfId="8649" xr:uid="{00000000-0005-0000-0000-0000A7210000}"/>
    <cellStyle name="Normal 44 4 3 2" xfId="8650" xr:uid="{00000000-0005-0000-0000-0000A8210000}"/>
    <cellStyle name="Normal 44 4 4" xfId="8651" xr:uid="{00000000-0005-0000-0000-0000A9210000}"/>
    <cellStyle name="Normal 44 5" xfId="8652" xr:uid="{00000000-0005-0000-0000-0000AA210000}"/>
    <cellStyle name="Normal 44 5 2" xfId="8653" xr:uid="{00000000-0005-0000-0000-0000AB210000}"/>
    <cellStyle name="Normal 44 5 2 2" xfId="8654" xr:uid="{00000000-0005-0000-0000-0000AC210000}"/>
    <cellStyle name="Normal 44 5 3" xfId="8655" xr:uid="{00000000-0005-0000-0000-0000AD210000}"/>
    <cellStyle name="Normal 44 6" xfId="8656" xr:uid="{00000000-0005-0000-0000-0000AE210000}"/>
    <cellStyle name="Normal 44 6 2" xfId="8657" xr:uid="{00000000-0005-0000-0000-0000AF210000}"/>
    <cellStyle name="Normal 44 7" xfId="8658" xr:uid="{00000000-0005-0000-0000-0000B0210000}"/>
    <cellStyle name="Normal 44 7 2" xfId="8659" xr:uid="{00000000-0005-0000-0000-0000B1210000}"/>
    <cellStyle name="Normal 44 8" xfId="8660" xr:uid="{00000000-0005-0000-0000-0000B2210000}"/>
    <cellStyle name="Normal 45" xfId="8661" xr:uid="{00000000-0005-0000-0000-0000B3210000}"/>
    <cellStyle name="Normal 45 2" xfId="8662" xr:uid="{00000000-0005-0000-0000-0000B4210000}"/>
    <cellStyle name="Normal 46" xfId="8663" xr:uid="{00000000-0005-0000-0000-0000B5210000}"/>
    <cellStyle name="Normal 46 2" xfId="8664" xr:uid="{00000000-0005-0000-0000-0000B6210000}"/>
    <cellStyle name="Normal 46 2 2" xfId="8665" xr:uid="{00000000-0005-0000-0000-0000B7210000}"/>
    <cellStyle name="Normal 46 2 2 2" xfId="8666" xr:uid="{00000000-0005-0000-0000-0000B8210000}"/>
    <cellStyle name="Normal 46 2 2 2 2" xfId="8667" xr:uid="{00000000-0005-0000-0000-0000B9210000}"/>
    <cellStyle name="Normal 46 2 2 2 2 2" xfId="8668" xr:uid="{00000000-0005-0000-0000-0000BA210000}"/>
    <cellStyle name="Normal 46 2 2 2 3" xfId="8669" xr:uid="{00000000-0005-0000-0000-0000BB210000}"/>
    <cellStyle name="Normal 46 2 2 2 3 2" xfId="8670" xr:uid="{00000000-0005-0000-0000-0000BC210000}"/>
    <cellStyle name="Normal 46 2 2 2 4" xfId="8671" xr:uid="{00000000-0005-0000-0000-0000BD210000}"/>
    <cellStyle name="Normal 46 2 2 3" xfId="8672" xr:uid="{00000000-0005-0000-0000-0000BE210000}"/>
    <cellStyle name="Normal 46 2 2 3 2" xfId="8673" xr:uid="{00000000-0005-0000-0000-0000BF210000}"/>
    <cellStyle name="Normal 46 2 2 3 2 2" xfId="8674" xr:uid="{00000000-0005-0000-0000-0000C0210000}"/>
    <cellStyle name="Normal 46 2 2 3 3" xfId="8675" xr:uid="{00000000-0005-0000-0000-0000C1210000}"/>
    <cellStyle name="Normal 46 2 2 4" xfId="8676" xr:uid="{00000000-0005-0000-0000-0000C2210000}"/>
    <cellStyle name="Normal 46 2 2 4 2" xfId="8677" xr:uid="{00000000-0005-0000-0000-0000C3210000}"/>
    <cellStyle name="Normal 46 2 2 5" xfId="8678" xr:uid="{00000000-0005-0000-0000-0000C4210000}"/>
    <cellStyle name="Normal 46 2 2 5 2" xfId="8679" xr:uid="{00000000-0005-0000-0000-0000C5210000}"/>
    <cellStyle name="Normal 46 2 2 6" xfId="8680" xr:uid="{00000000-0005-0000-0000-0000C6210000}"/>
    <cellStyle name="Normal 46 2 3" xfId="8681" xr:uid="{00000000-0005-0000-0000-0000C7210000}"/>
    <cellStyle name="Normal 46 2 3 2" xfId="8682" xr:uid="{00000000-0005-0000-0000-0000C8210000}"/>
    <cellStyle name="Normal 46 2 3 2 2" xfId="8683" xr:uid="{00000000-0005-0000-0000-0000C9210000}"/>
    <cellStyle name="Normal 46 2 3 3" xfId="8684" xr:uid="{00000000-0005-0000-0000-0000CA210000}"/>
    <cellStyle name="Normal 46 2 3 3 2" xfId="8685" xr:uid="{00000000-0005-0000-0000-0000CB210000}"/>
    <cellStyle name="Normal 46 2 3 4" xfId="8686" xr:uid="{00000000-0005-0000-0000-0000CC210000}"/>
    <cellStyle name="Normal 46 2 4" xfId="8687" xr:uid="{00000000-0005-0000-0000-0000CD210000}"/>
    <cellStyle name="Normal 46 2 4 2" xfId="8688" xr:uid="{00000000-0005-0000-0000-0000CE210000}"/>
    <cellStyle name="Normal 46 2 4 2 2" xfId="8689" xr:uid="{00000000-0005-0000-0000-0000CF210000}"/>
    <cellStyle name="Normal 46 2 4 3" xfId="8690" xr:uid="{00000000-0005-0000-0000-0000D0210000}"/>
    <cellStyle name="Normal 46 2 5" xfId="8691" xr:uid="{00000000-0005-0000-0000-0000D1210000}"/>
    <cellStyle name="Normal 46 2 5 2" xfId="8692" xr:uid="{00000000-0005-0000-0000-0000D2210000}"/>
    <cellStyle name="Normal 46 2 6" xfId="8693" xr:uid="{00000000-0005-0000-0000-0000D3210000}"/>
    <cellStyle name="Normal 46 2 6 2" xfId="8694" xr:uid="{00000000-0005-0000-0000-0000D4210000}"/>
    <cellStyle name="Normal 46 2 7" xfId="8695" xr:uid="{00000000-0005-0000-0000-0000D5210000}"/>
    <cellStyle name="Normal 46 3" xfId="8696" xr:uid="{00000000-0005-0000-0000-0000D6210000}"/>
    <cellStyle name="Normal 46 3 2" xfId="8697" xr:uid="{00000000-0005-0000-0000-0000D7210000}"/>
    <cellStyle name="Normal 46 3 2 2" xfId="8698" xr:uid="{00000000-0005-0000-0000-0000D8210000}"/>
    <cellStyle name="Normal 46 3 2 2 2" xfId="8699" xr:uid="{00000000-0005-0000-0000-0000D9210000}"/>
    <cellStyle name="Normal 46 3 2 3" xfId="8700" xr:uid="{00000000-0005-0000-0000-0000DA210000}"/>
    <cellStyle name="Normal 46 3 2 3 2" xfId="8701" xr:uid="{00000000-0005-0000-0000-0000DB210000}"/>
    <cellStyle name="Normal 46 3 2 4" xfId="8702" xr:uid="{00000000-0005-0000-0000-0000DC210000}"/>
    <cellStyle name="Normal 46 3 3" xfId="8703" xr:uid="{00000000-0005-0000-0000-0000DD210000}"/>
    <cellStyle name="Normal 46 3 3 2" xfId="8704" xr:uid="{00000000-0005-0000-0000-0000DE210000}"/>
    <cellStyle name="Normal 46 3 3 2 2" xfId="8705" xr:uid="{00000000-0005-0000-0000-0000DF210000}"/>
    <cellStyle name="Normal 46 3 3 3" xfId="8706" xr:uid="{00000000-0005-0000-0000-0000E0210000}"/>
    <cellStyle name="Normal 46 3 4" xfId="8707" xr:uid="{00000000-0005-0000-0000-0000E1210000}"/>
    <cellStyle name="Normal 46 3 4 2" xfId="8708" xr:uid="{00000000-0005-0000-0000-0000E2210000}"/>
    <cellStyle name="Normal 46 3 5" xfId="8709" xr:uid="{00000000-0005-0000-0000-0000E3210000}"/>
    <cellStyle name="Normal 46 3 5 2" xfId="8710" xr:uid="{00000000-0005-0000-0000-0000E4210000}"/>
    <cellStyle name="Normal 46 3 6" xfId="8711" xr:uid="{00000000-0005-0000-0000-0000E5210000}"/>
    <cellStyle name="Normal 46 4" xfId="8712" xr:uid="{00000000-0005-0000-0000-0000E6210000}"/>
    <cellStyle name="Normal 46 4 2" xfId="8713" xr:uid="{00000000-0005-0000-0000-0000E7210000}"/>
    <cellStyle name="Normal 46 4 2 2" xfId="8714" xr:uid="{00000000-0005-0000-0000-0000E8210000}"/>
    <cellStyle name="Normal 46 4 3" xfId="8715" xr:uid="{00000000-0005-0000-0000-0000E9210000}"/>
    <cellStyle name="Normal 46 4 3 2" xfId="8716" xr:uid="{00000000-0005-0000-0000-0000EA210000}"/>
    <cellStyle name="Normal 46 4 4" xfId="8717" xr:uid="{00000000-0005-0000-0000-0000EB210000}"/>
    <cellStyle name="Normal 46 5" xfId="8718" xr:uid="{00000000-0005-0000-0000-0000EC210000}"/>
    <cellStyle name="Normal 46 5 2" xfId="8719" xr:uid="{00000000-0005-0000-0000-0000ED210000}"/>
    <cellStyle name="Normal 46 5 2 2" xfId="8720" xr:uid="{00000000-0005-0000-0000-0000EE210000}"/>
    <cellStyle name="Normal 46 5 3" xfId="8721" xr:uid="{00000000-0005-0000-0000-0000EF210000}"/>
    <cellStyle name="Normal 46 6" xfId="8722" xr:uid="{00000000-0005-0000-0000-0000F0210000}"/>
    <cellStyle name="Normal 46 6 2" xfId="8723" xr:uid="{00000000-0005-0000-0000-0000F1210000}"/>
    <cellStyle name="Normal 46 7" xfId="8724" xr:uid="{00000000-0005-0000-0000-0000F2210000}"/>
    <cellStyle name="Normal 46 7 2" xfId="8725" xr:uid="{00000000-0005-0000-0000-0000F3210000}"/>
    <cellStyle name="Normal 46 8" xfId="8726" xr:uid="{00000000-0005-0000-0000-0000F4210000}"/>
    <cellStyle name="Normal 47" xfId="8727" xr:uid="{00000000-0005-0000-0000-0000F5210000}"/>
    <cellStyle name="Normal 47 2" xfId="8728" xr:uid="{00000000-0005-0000-0000-0000F6210000}"/>
    <cellStyle name="Normal 47 2 2" xfId="8729" xr:uid="{00000000-0005-0000-0000-0000F7210000}"/>
    <cellStyle name="Normal 47 2 2 2" xfId="8730" xr:uid="{00000000-0005-0000-0000-0000F8210000}"/>
    <cellStyle name="Normal 47 2 2 2 2" xfId="8731" xr:uid="{00000000-0005-0000-0000-0000F9210000}"/>
    <cellStyle name="Normal 47 2 2 2 2 2" xfId="8732" xr:uid="{00000000-0005-0000-0000-0000FA210000}"/>
    <cellStyle name="Normal 47 2 2 2 3" xfId="8733" xr:uid="{00000000-0005-0000-0000-0000FB210000}"/>
    <cellStyle name="Normal 47 2 2 2 3 2" xfId="8734" xr:uid="{00000000-0005-0000-0000-0000FC210000}"/>
    <cellStyle name="Normal 47 2 2 2 4" xfId="8735" xr:uid="{00000000-0005-0000-0000-0000FD210000}"/>
    <cellStyle name="Normal 47 2 2 3" xfId="8736" xr:uid="{00000000-0005-0000-0000-0000FE210000}"/>
    <cellStyle name="Normal 47 2 2 3 2" xfId="8737" xr:uid="{00000000-0005-0000-0000-0000FF210000}"/>
    <cellStyle name="Normal 47 2 2 3 2 2" xfId="8738" xr:uid="{00000000-0005-0000-0000-000000220000}"/>
    <cellStyle name="Normal 47 2 2 3 3" xfId="8739" xr:uid="{00000000-0005-0000-0000-000001220000}"/>
    <cellStyle name="Normal 47 2 2 4" xfId="8740" xr:uid="{00000000-0005-0000-0000-000002220000}"/>
    <cellStyle name="Normal 47 2 2 4 2" xfId="8741" xr:uid="{00000000-0005-0000-0000-000003220000}"/>
    <cellStyle name="Normal 47 2 2 5" xfId="8742" xr:uid="{00000000-0005-0000-0000-000004220000}"/>
    <cellStyle name="Normal 47 2 2 5 2" xfId="8743" xr:uid="{00000000-0005-0000-0000-000005220000}"/>
    <cellStyle name="Normal 47 2 2 6" xfId="8744" xr:uid="{00000000-0005-0000-0000-000006220000}"/>
    <cellStyle name="Normal 47 2 3" xfId="8745" xr:uid="{00000000-0005-0000-0000-000007220000}"/>
    <cellStyle name="Normal 47 2 3 2" xfId="8746" xr:uid="{00000000-0005-0000-0000-000008220000}"/>
    <cellStyle name="Normal 47 2 3 2 2" xfId="8747" xr:uid="{00000000-0005-0000-0000-000009220000}"/>
    <cellStyle name="Normal 47 2 3 3" xfId="8748" xr:uid="{00000000-0005-0000-0000-00000A220000}"/>
    <cellStyle name="Normal 47 2 3 3 2" xfId="8749" xr:uid="{00000000-0005-0000-0000-00000B220000}"/>
    <cellStyle name="Normal 47 2 3 4" xfId="8750" xr:uid="{00000000-0005-0000-0000-00000C220000}"/>
    <cellStyle name="Normal 47 2 4" xfId="8751" xr:uid="{00000000-0005-0000-0000-00000D220000}"/>
    <cellStyle name="Normal 47 2 4 2" xfId="8752" xr:uid="{00000000-0005-0000-0000-00000E220000}"/>
    <cellStyle name="Normal 47 2 4 2 2" xfId="8753" xr:uid="{00000000-0005-0000-0000-00000F220000}"/>
    <cellStyle name="Normal 47 2 4 3" xfId="8754" xr:uid="{00000000-0005-0000-0000-000010220000}"/>
    <cellStyle name="Normal 47 2 5" xfId="8755" xr:uid="{00000000-0005-0000-0000-000011220000}"/>
    <cellStyle name="Normal 47 2 5 2" xfId="8756" xr:uid="{00000000-0005-0000-0000-000012220000}"/>
    <cellStyle name="Normal 47 2 6" xfId="8757" xr:uid="{00000000-0005-0000-0000-000013220000}"/>
    <cellStyle name="Normal 47 2 6 2" xfId="8758" xr:uid="{00000000-0005-0000-0000-000014220000}"/>
    <cellStyle name="Normal 47 2 7" xfId="8759" xr:uid="{00000000-0005-0000-0000-000015220000}"/>
    <cellStyle name="Normal 47 3" xfId="8760" xr:uid="{00000000-0005-0000-0000-000016220000}"/>
    <cellStyle name="Normal 47 3 2" xfId="8761" xr:uid="{00000000-0005-0000-0000-000017220000}"/>
    <cellStyle name="Normal 47 3 2 2" xfId="8762" xr:uid="{00000000-0005-0000-0000-000018220000}"/>
    <cellStyle name="Normal 47 3 2 2 2" xfId="8763" xr:uid="{00000000-0005-0000-0000-000019220000}"/>
    <cellStyle name="Normal 47 3 2 3" xfId="8764" xr:uid="{00000000-0005-0000-0000-00001A220000}"/>
    <cellStyle name="Normal 47 3 2 3 2" xfId="8765" xr:uid="{00000000-0005-0000-0000-00001B220000}"/>
    <cellStyle name="Normal 47 3 2 4" xfId="8766" xr:uid="{00000000-0005-0000-0000-00001C220000}"/>
    <cellStyle name="Normal 47 3 3" xfId="8767" xr:uid="{00000000-0005-0000-0000-00001D220000}"/>
    <cellStyle name="Normal 47 3 3 2" xfId="8768" xr:uid="{00000000-0005-0000-0000-00001E220000}"/>
    <cellStyle name="Normal 47 3 3 2 2" xfId="8769" xr:uid="{00000000-0005-0000-0000-00001F220000}"/>
    <cellStyle name="Normal 47 3 3 3" xfId="8770" xr:uid="{00000000-0005-0000-0000-000020220000}"/>
    <cellStyle name="Normal 47 3 4" xfId="8771" xr:uid="{00000000-0005-0000-0000-000021220000}"/>
    <cellStyle name="Normal 47 3 4 2" xfId="8772" xr:uid="{00000000-0005-0000-0000-000022220000}"/>
    <cellStyle name="Normal 47 3 5" xfId="8773" xr:uid="{00000000-0005-0000-0000-000023220000}"/>
    <cellStyle name="Normal 47 3 5 2" xfId="8774" xr:uid="{00000000-0005-0000-0000-000024220000}"/>
    <cellStyle name="Normal 47 3 6" xfId="8775" xr:uid="{00000000-0005-0000-0000-000025220000}"/>
    <cellStyle name="Normal 47 4" xfId="8776" xr:uid="{00000000-0005-0000-0000-000026220000}"/>
    <cellStyle name="Normal 47 4 2" xfId="8777" xr:uid="{00000000-0005-0000-0000-000027220000}"/>
    <cellStyle name="Normal 47 4 2 2" xfId="8778" xr:uid="{00000000-0005-0000-0000-000028220000}"/>
    <cellStyle name="Normal 47 4 3" xfId="8779" xr:uid="{00000000-0005-0000-0000-000029220000}"/>
    <cellStyle name="Normal 47 4 3 2" xfId="8780" xr:uid="{00000000-0005-0000-0000-00002A220000}"/>
    <cellStyle name="Normal 47 4 4" xfId="8781" xr:uid="{00000000-0005-0000-0000-00002B220000}"/>
    <cellStyle name="Normal 47 5" xfId="8782" xr:uid="{00000000-0005-0000-0000-00002C220000}"/>
    <cellStyle name="Normal 47 5 2" xfId="8783" xr:uid="{00000000-0005-0000-0000-00002D220000}"/>
    <cellStyle name="Normal 47 5 2 2" xfId="8784" xr:uid="{00000000-0005-0000-0000-00002E220000}"/>
    <cellStyle name="Normal 47 5 3" xfId="8785" xr:uid="{00000000-0005-0000-0000-00002F220000}"/>
    <cellStyle name="Normal 47 6" xfId="8786" xr:uid="{00000000-0005-0000-0000-000030220000}"/>
    <cellStyle name="Normal 47 6 2" xfId="8787" xr:uid="{00000000-0005-0000-0000-000031220000}"/>
    <cellStyle name="Normal 47 7" xfId="8788" xr:uid="{00000000-0005-0000-0000-000032220000}"/>
    <cellStyle name="Normal 47 7 2" xfId="8789" xr:uid="{00000000-0005-0000-0000-000033220000}"/>
    <cellStyle name="Normal 47 8" xfId="8790" xr:uid="{00000000-0005-0000-0000-000034220000}"/>
    <cellStyle name="Normal 48" xfId="8791" xr:uid="{00000000-0005-0000-0000-000035220000}"/>
    <cellStyle name="Normal 48 2" xfId="8792" xr:uid="{00000000-0005-0000-0000-000036220000}"/>
    <cellStyle name="Normal 48 2 2" xfId="8793" xr:uid="{00000000-0005-0000-0000-000037220000}"/>
    <cellStyle name="Normal 48 2 2 2" xfId="8794" xr:uid="{00000000-0005-0000-0000-000038220000}"/>
    <cellStyle name="Normal 48 2 2 2 2" xfId="8795" xr:uid="{00000000-0005-0000-0000-000039220000}"/>
    <cellStyle name="Normal 48 2 2 2 2 2" xfId="8796" xr:uid="{00000000-0005-0000-0000-00003A220000}"/>
    <cellStyle name="Normal 48 2 2 2 3" xfId="8797" xr:uid="{00000000-0005-0000-0000-00003B220000}"/>
    <cellStyle name="Normal 48 2 2 2 3 2" xfId="8798" xr:uid="{00000000-0005-0000-0000-00003C220000}"/>
    <cellStyle name="Normal 48 2 2 2 4" xfId="8799" xr:uid="{00000000-0005-0000-0000-00003D220000}"/>
    <cellStyle name="Normal 48 2 2 3" xfId="8800" xr:uid="{00000000-0005-0000-0000-00003E220000}"/>
    <cellStyle name="Normal 48 2 2 3 2" xfId="8801" xr:uid="{00000000-0005-0000-0000-00003F220000}"/>
    <cellStyle name="Normal 48 2 2 3 2 2" xfId="8802" xr:uid="{00000000-0005-0000-0000-000040220000}"/>
    <cellStyle name="Normal 48 2 2 3 3" xfId="8803" xr:uid="{00000000-0005-0000-0000-000041220000}"/>
    <cellStyle name="Normal 48 2 2 4" xfId="8804" xr:uid="{00000000-0005-0000-0000-000042220000}"/>
    <cellStyle name="Normal 48 2 2 4 2" xfId="8805" xr:uid="{00000000-0005-0000-0000-000043220000}"/>
    <cellStyle name="Normal 48 2 2 5" xfId="8806" xr:uid="{00000000-0005-0000-0000-000044220000}"/>
    <cellStyle name="Normal 48 2 2 5 2" xfId="8807" xr:uid="{00000000-0005-0000-0000-000045220000}"/>
    <cellStyle name="Normal 48 2 2 6" xfId="8808" xr:uid="{00000000-0005-0000-0000-000046220000}"/>
    <cellStyle name="Normal 48 2 3" xfId="8809" xr:uid="{00000000-0005-0000-0000-000047220000}"/>
    <cellStyle name="Normal 48 2 3 2" xfId="8810" xr:uid="{00000000-0005-0000-0000-000048220000}"/>
    <cellStyle name="Normal 48 2 3 2 2" xfId="8811" xr:uid="{00000000-0005-0000-0000-000049220000}"/>
    <cellStyle name="Normal 48 2 3 3" xfId="8812" xr:uid="{00000000-0005-0000-0000-00004A220000}"/>
    <cellStyle name="Normal 48 2 3 3 2" xfId="8813" xr:uid="{00000000-0005-0000-0000-00004B220000}"/>
    <cellStyle name="Normal 48 2 3 4" xfId="8814" xr:uid="{00000000-0005-0000-0000-00004C220000}"/>
    <cellStyle name="Normal 48 2 4" xfId="8815" xr:uid="{00000000-0005-0000-0000-00004D220000}"/>
    <cellStyle name="Normal 48 2 4 2" xfId="8816" xr:uid="{00000000-0005-0000-0000-00004E220000}"/>
    <cellStyle name="Normal 48 2 4 2 2" xfId="8817" xr:uid="{00000000-0005-0000-0000-00004F220000}"/>
    <cellStyle name="Normal 48 2 4 3" xfId="8818" xr:uid="{00000000-0005-0000-0000-000050220000}"/>
    <cellStyle name="Normal 48 2 5" xfId="8819" xr:uid="{00000000-0005-0000-0000-000051220000}"/>
    <cellStyle name="Normal 48 2 5 2" xfId="8820" xr:uid="{00000000-0005-0000-0000-000052220000}"/>
    <cellStyle name="Normal 48 2 6" xfId="8821" xr:uid="{00000000-0005-0000-0000-000053220000}"/>
    <cellStyle name="Normal 48 2 6 2" xfId="8822" xr:uid="{00000000-0005-0000-0000-000054220000}"/>
    <cellStyle name="Normal 48 2 7" xfId="8823" xr:uid="{00000000-0005-0000-0000-000055220000}"/>
    <cellStyle name="Normal 48 3" xfId="8824" xr:uid="{00000000-0005-0000-0000-000056220000}"/>
    <cellStyle name="Normal 48 3 2" xfId="8825" xr:uid="{00000000-0005-0000-0000-000057220000}"/>
    <cellStyle name="Normal 48 3 2 2" xfId="8826" xr:uid="{00000000-0005-0000-0000-000058220000}"/>
    <cellStyle name="Normal 48 3 2 2 2" xfId="8827" xr:uid="{00000000-0005-0000-0000-000059220000}"/>
    <cellStyle name="Normal 48 3 2 3" xfId="8828" xr:uid="{00000000-0005-0000-0000-00005A220000}"/>
    <cellStyle name="Normal 48 3 2 3 2" xfId="8829" xr:uid="{00000000-0005-0000-0000-00005B220000}"/>
    <cellStyle name="Normal 48 3 2 4" xfId="8830" xr:uid="{00000000-0005-0000-0000-00005C220000}"/>
    <cellStyle name="Normal 48 3 3" xfId="8831" xr:uid="{00000000-0005-0000-0000-00005D220000}"/>
    <cellStyle name="Normal 48 3 3 2" xfId="8832" xr:uid="{00000000-0005-0000-0000-00005E220000}"/>
    <cellStyle name="Normal 48 3 3 2 2" xfId="8833" xr:uid="{00000000-0005-0000-0000-00005F220000}"/>
    <cellStyle name="Normal 48 3 3 3" xfId="8834" xr:uid="{00000000-0005-0000-0000-000060220000}"/>
    <cellStyle name="Normal 48 3 4" xfId="8835" xr:uid="{00000000-0005-0000-0000-000061220000}"/>
    <cellStyle name="Normal 48 3 4 2" xfId="8836" xr:uid="{00000000-0005-0000-0000-000062220000}"/>
    <cellStyle name="Normal 48 3 5" xfId="8837" xr:uid="{00000000-0005-0000-0000-000063220000}"/>
    <cellStyle name="Normal 48 3 5 2" xfId="8838" xr:uid="{00000000-0005-0000-0000-000064220000}"/>
    <cellStyle name="Normal 48 3 6" xfId="8839" xr:uid="{00000000-0005-0000-0000-000065220000}"/>
    <cellStyle name="Normal 48 4" xfId="8840" xr:uid="{00000000-0005-0000-0000-000066220000}"/>
    <cellStyle name="Normal 48 4 2" xfId="8841" xr:uid="{00000000-0005-0000-0000-000067220000}"/>
    <cellStyle name="Normal 48 4 2 2" xfId="8842" xr:uid="{00000000-0005-0000-0000-000068220000}"/>
    <cellStyle name="Normal 48 4 3" xfId="8843" xr:uid="{00000000-0005-0000-0000-000069220000}"/>
    <cellStyle name="Normal 48 4 3 2" xfId="8844" xr:uid="{00000000-0005-0000-0000-00006A220000}"/>
    <cellStyle name="Normal 48 4 4" xfId="8845" xr:uid="{00000000-0005-0000-0000-00006B220000}"/>
    <cellStyle name="Normal 48 5" xfId="8846" xr:uid="{00000000-0005-0000-0000-00006C220000}"/>
    <cellStyle name="Normal 48 5 2" xfId="8847" xr:uid="{00000000-0005-0000-0000-00006D220000}"/>
    <cellStyle name="Normal 48 5 2 2" xfId="8848" xr:uid="{00000000-0005-0000-0000-00006E220000}"/>
    <cellStyle name="Normal 48 5 3" xfId="8849" xr:uid="{00000000-0005-0000-0000-00006F220000}"/>
    <cellStyle name="Normal 48 6" xfId="8850" xr:uid="{00000000-0005-0000-0000-000070220000}"/>
    <cellStyle name="Normal 48 6 2" xfId="8851" xr:uid="{00000000-0005-0000-0000-000071220000}"/>
    <cellStyle name="Normal 48 7" xfId="8852" xr:uid="{00000000-0005-0000-0000-000072220000}"/>
    <cellStyle name="Normal 48 7 2" xfId="8853" xr:uid="{00000000-0005-0000-0000-000073220000}"/>
    <cellStyle name="Normal 48 8" xfId="8854" xr:uid="{00000000-0005-0000-0000-000074220000}"/>
    <cellStyle name="Normal 49" xfId="8855" xr:uid="{00000000-0005-0000-0000-000075220000}"/>
    <cellStyle name="Normal 49 2" xfId="8856" xr:uid="{00000000-0005-0000-0000-000076220000}"/>
    <cellStyle name="Normal 49 2 2" xfId="8857" xr:uid="{00000000-0005-0000-0000-000077220000}"/>
    <cellStyle name="Normal 49 2 2 2" xfId="8858" xr:uid="{00000000-0005-0000-0000-000078220000}"/>
    <cellStyle name="Normal 49 2 2 2 2" xfId="8859" xr:uid="{00000000-0005-0000-0000-000079220000}"/>
    <cellStyle name="Normal 49 2 2 2 2 2" xfId="8860" xr:uid="{00000000-0005-0000-0000-00007A220000}"/>
    <cellStyle name="Normal 49 2 2 2 3" xfId="8861" xr:uid="{00000000-0005-0000-0000-00007B220000}"/>
    <cellStyle name="Normal 49 2 2 2 3 2" xfId="8862" xr:uid="{00000000-0005-0000-0000-00007C220000}"/>
    <cellStyle name="Normal 49 2 2 2 4" xfId="8863" xr:uid="{00000000-0005-0000-0000-00007D220000}"/>
    <cellStyle name="Normal 49 2 2 3" xfId="8864" xr:uid="{00000000-0005-0000-0000-00007E220000}"/>
    <cellStyle name="Normal 49 2 2 3 2" xfId="8865" xr:uid="{00000000-0005-0000-0000-00007F220000}"/>
    <cellStyle name="Normal 49 2 2 3 2 2" xfId="8866" xr:uid="{00000000-0005-0000-0000-000080220000}"/>
    <cellStyle name="Normal 49 2 2 3 3" xfId="8867" xr:uid="{00000000-0005-0000-0000-000081220000}"/>
    <cellStyle name="Normal 49 2 2 4" xfId="8868" xr:uid="{00000000-0005-0000-0000-000082220000}"/>
    <cellStyle name="Normal 49 2 2 4 2" xfId="8869" xr:uid="{00000000-0005-0000-0000-000083220000}"/>
    <cellStyle name="Normal 49 2 2 5" xfId="8870" xr:uid="{00000000-0005-0000-0000-000084220000}"/>
    <cellStyle name="Normal 49 2 2 5 2" xfId="8871" xr:uid="{00000000-0005-0000-0000-000085220000}"/>
    <cellStyle name="Normal 49 2 2 6" xfId="8872" xr:uid="{00000000-0005-0000-0000-000086220000}"/>
    <cellStyle name="Normal 49 2 3" xfId="8873" xr:uid="{00000000-0005-0000-0000-000087220000}"/>
    <cellStyle name="Normal 49 2 3 2" xfId="8874" xr:uid="{00000000-0005-0000-0000-000088220000}"/>
    <cellStyle name="Normal 49 2 3 2 2" xfId="8875" xr:uid="{00000000-0005-0000-0000-000089220000}"/>
    <cellStyle name="Normal 49 2 3 3" xfId="8876" xr:uid="{00000000-0005-0000-0000-00008A220000}"/>
    <cellStyle name="Normal 49 2 3 3 2" xfId="8877" xr:uid="{00000000-0005-0000-0000-00008B220000}"/>
    <cellStyle name="Normal 49 2 3 4" xfId="8878" xr:uid="{00000000-0005-0000-0000-00008C220000}"/>
    <cellStyle name="Normal 49 2 4" xfId="8879" xr:uid="{00000000-0005-0000-0000-00008D220000}"/>
    <cellStyle name="Normal 49 2 4 2" xfId="8880" xr:uid="{00000000-0005-0000-0000-00008E220000}"/>
    <cellStyle name="Normal 49 2 4 2 2" xfId="8881" xr:uid="{00000000-0005-0000-0000-00008F220000}"/>
    <cellStyle name="Normal 49 2 4 3" xfId="8882" xr:uid="{00000000-0005-0000-0000-000090220000}"/>
    <cellStyle name="Normal 49 2 5" xfId="8883" xr:uid="{00000000-0005-0000-0000-000091220000}"/>
    <cellStyle name="Normal 49 2 5 2" xfId="8884" xr:uid="{00000000-0005-0000-0000-000092220000}"/>
    <cellStyle name="Normal 49 2 6" xfId="8885" xr:uid="{00000000-0005-0000-0000-000093220000}"/>
    <cellStyle name="Normal 49 2 6 2" xfId="8886" xr:uid="{00000000-0005-0000-0000-000094220000}"/>
    <cellStyle name="Normal 49 2 7" xfId="8887" xr:uid="{00000000-0005-0000-0000-000095220000}"/>
    <cellStyle name="Normal 49 3" xfId="8888" xr:uid="{00000000-0005-0000-0000-000096220000}"/>
    <cellStyle name="Normal 49 3 2" xfId="8889" xr:uid="{00000000-0005-0000-0000-000097220000}"/>
    <cellStyle name="Normal 49 3 2 2" xfId="8890" xr:uid="{00000000-0005-0000-0000-000098220000}"/>
    <cellStyle name="Normal 49 3 2 2 2" xfId="8891" xr:uid="{00000000-0005-0000-0000-000099220000}"/>
    <cellStyle name="Normal 49 3 2 3" xfId="8892" xr:uid="{00000000-0005-0000-0000-00009A220000}"/>
    <cellStyle name="Normal 49 3 2 3 2" xfId="8893" xr:uid="{00000000-0005-0000-0000-00009B220000}"/>
    <cellStyle name="Normal 49 3 2 4" xfId="8894" xr:uid="{00000000-0005-0000-0000-00009C220000}"/>
    <cellStyle name="Normal 49 3 3" xfId="8895" xr:uid="{00000000-0005-0000-0000-00009D220000}"/>
    <cellStyle name="Normal 49 3 3 2" xfId="8896" xr:uid="{00000000-0005-0000-0000-00009E220000}"/>
    <cellStyle name="Normal 49 3 3 2 2" xfId="8897" xr:uid="{00000000-0005-0000-0000-00009F220000}"/>
    <cellStyle name="Normal 49 3 3 3" xfId="8898" xr:uid="{00000000-0005-0000-0000-0000A0220000}"/>
    <cellStyle name="Normal 49 3 4" xfId="8899" xr:uid="{00000000-0005-0000-0000-0000A1220000}"/>
    <cellStyle name="Normal 49 3 4 2" xfId="8900" xr:uid="{00000000-0005-0000-0000-0000A2220000}"/>
    <cellStyle name="Normal 49 3 5" xfId="8901" xr:uid="{00000000-0005-0000-0000-0000A3220000}"/>
    <cellStyle name="Normal 49 3 5 2" xfId="8902" xr:uid="{00000000-0005-0000-0000-0000A4220000}"/>
    <cellStyle name="Normal 49 3 6" xfId="8903" xr:uid="{00000000-0005-0000-0000-0000A5220000}"/>
    <cellStyle name="Normal 49 4" xfId="8904" xr:uid="{00000000-0005-0000-0000-0000A6220000}"/>
    <cellStyle name="Normal 49 4 2" xfId="8905" xr:uid="{00000000-0005-0000-0000-0000A7220000}"/>
    <cellStyle name="Normal 49 4 2 2" xfId="8906" xr:uid="{00000000-0005-0000-0000-0000A8220000}"/>
    <cellStyle name="Normal 49 4 3" xfId="8907" xr:uid="{00000000-0005-0000-0000-0000A9220000}"/>
    <cellStyle name="Normal 49 4 3 2" xfId="8908" xr:uid="{00000000-0005-0000-0000-0000AA220000}"/>
    <cellStyle name="Normal 49 4 4" xfId="8909" xr:uid="{00000000-0005-0000-0000-0000AB220000}"/>
    <cellStyle name="Normal 49 5" xfId="8910" xr:uid="{00000000-0005-0000-0000-0000AC220000}"/>
    <cellStyle name="Normal 49 5 2" xfId="8911" xr:uid="{00000000-0005-0000-0000-0000AD220000}"/>
    <cellStyle name="Normal 49 5 2 2" xfId="8912" xr:uid="{00000000-0005-0000-0000-0000AE220000}"/>
    <cellStyle name="Normal 49 5 3" xfId="8913" xr:uid="{00000000-0005-0000-0000-0000AF220000}"/>
    <cellStyle name="Normal 49 6" xfId="8914" xr:uid="{00000000-0005-0000-0000-0000B0220000}"/>
    <cellStyle name="Normal 49 6 2" xfId="8915" xr:uid="{00000000-0005-0000-0000-0000B1220000}"/>
    <cellStyle name="Normal 49 7" xfId="8916" xr:uid="{00000000-0005-0000-0000-0000B2220000}"/>
    <cellStyle name="Normal 49 7 2" xfId="8917" xr:uid="{00000000-0005-0000-0000-0000B3220000}"/>
    <cellStyle name="Normal 49 8" xfId="8918" xr:uid="{00000000-0005-0000-0000-0000B4220000}"/>
    <cellStyle name="Normal 5" xfId="204" xr:uid="{00000000-0005-0000-0000-0000B5220000}"/>
    <cellStyle name="Normal 5 2" xfId="8919" xr:uid="{00000000-0005-0000-0000-0000B6220000}"/>
    <cellStyle name="Normal 5 2 2" xfId="8920" xr:uid="{00000000-0005-0000-0000-0000B7220000}"/>
    <cellStyle name="Normal 5 2 2 2" xfId="8921" xr:uid="{00000000-0005-0000-0000-0000B8220000}"/>
    <cellStyle name="Normal 5 2 3" xfId="8922" xr:uid="{00000000-0005-0000-0000-0000B9220000}"/>
    <cellStyle name="Normal 5 2 4" xfId="8923" xr:uid="{00000000-0005-0000-0000-0000BA220000}"/>
    <cellStyle name="Normal 5 3" xfId="8924" xr:uid="{00000000-0005-0000-0000-0000BB220000}"/>
    <cellStyle name="Normal 5 3 2" xfId="8925" xr:uid="{00000000-0005-0000-0000-0000BC220000}"/>
    <cellStyle name="Normal 5 4" xfId="8926" xr:uid="{00000000-0005-0000-0000-0000BD220000}"/>
    <cellStyle name="Normal 5 5" xfId="8927" xr:uid="{00000000-0005-0000-0000-0000BE220000}"/>
    <cellStyle name="Normal 50" xfId="8928" xr:uid="{00000000-0005-0000-0000-0000BF220000}"/>
    <cellStyle name="Normal 50 2" xfId="8929" xr:uid="{00000000-0005-0000-0000-0000C0220000}"/>
    <cellStyle name="Normal 50 2 2" xfId="8930" xr:uid="{00000000-0005-0000-0000-0000C1220000}"/>
    <cellStyle name="Normal 50 2 2 2" xfId="8931" xr:uid="{00000000-0005-0000-0000-0000C2220000}"/>
    <cellStyle name="Normal 50 2 2 2 2" xfId="8932" xr:uid="{00000000-0005-0000-0000-0000C3220000}"/>
    <cellStyle name="Normal 50 2 2 2 2 2" xfId="8933" xr:uid="{00000000-0005-0000-0000-0000C4220000}"/>
    <cellStyle name="Normal 50 2 2 2 3" xfId="8934" xr:uid="{00000000-0005-0000-0000-0000C5220000}"/>
    <cellStyle name="Normal 50 2 2 2 3 2" xfId="8935" xr:uid="{00000000-0005-0000-0000-0000C6220000}"/>
    <cellStyle name="Normal 50 2 2 2 4" xfId="8936" xr:uid="{00000000-0005-0000-0000-0000C7220000}"/>
    <cellStyle name="Normal 50 2 2 3" xfId="8937" xr:uid="{00000000-0005-0000-0000-0000C8220000}"/>
    <cellStyle name="Normal 50 2 2 3 2" xfId="8938" xr:uid="{00000000-0005-0000-0000-0000C9220000}"/>
    <cellStyle name="Normal 50 2 2 3 2 2" xfId="8939" xr:uid="{00000000-0005-0000-0000-0000CA220000}"/>
    <cellStyle name="Normal 50 2 2 3 3" xfId="8940" xr:uid="{00000000-0005-0000-0000-0000CB220000}"/>
    <cellStyle name="Normal 50 2 2 4" xfId="8941" xr:uid="{00000000-0005-0000-0000-0000CC220000}"/>
    <cellStyle name="Normal 50 2 2 4 2" xfId="8942" xr:uid="{00000000-0005-0000-0000-0000CD220000}"/>
    <cellStyle name="Normal 50 2 2 5" xfId="8943" xr:uid="{00000000-0005-0000-0000-0000CE220000}"/>
    <cellStyle name="Normal 50 2 2 5 2" xfId="8944" xr:uid="{00000000-0005-0000-0000-0000CF220000}"/>
    <cellStyle name="Normal 50 2 2 6" xfId="8945" xr:uid="{00000000-0005-0000-0000-0000D0220000}"/>
    <cellStyle name="Normal 50 2 3" xfId="8946" xr:uid="{00000000-0005-0000-0000-0000D1220000}"/>
    <cellStyle name="Normal 50 2 3 2" xfId="8947" xr:uid="{00000000-0005-0000-0000-0000D2220000}"/>
    <cellStyle name="Normal 50 2 3 2 2" xfId="8948" xr:uid="{00000000-0005-0000-0000-0000D3220000}"/>
    <cellStyle name="Normal 50 2 3 3" xfId="8949" xr:uid="{00000000-0005-0000-0000-0000D4220000}"/>
    <cellStyle name="Normal 50 2 3 3 2" xfId="8950" xr:uid="{00000000-0005-0000-0000-0000D5220000}"/>
    <cellStyle name="Normal 50 2 3 4" xfId="8951" xr:uid="{00000000-0005-0000-0000-0000D6220000}"/>
    <cellStyle name="Normal 50 2 4" xfId="8952" xr:uid="{00000000-0005-0000-0000-0000D7220000}"/>
    <cellStyle name="Normal 50 2 4 2" xfId="8953" xr:uid="{00000000-0005-0000-0000-0000D8220000}"/>
    <cellStyle name="Normal 50 2 4 2 2" xfId="8954" xr:uid="{00000000-0005-0000-0000-0000D9220000}"/>
    <cellStyle name="Normal 50 2 4 3" xfId="8955" xr:uid="{00000000-0005-0000-0000-0000DA220000}"/>
    <cellStyle name="Normal 50 2 5" xfId="8956" xr:uid="{00000000-0005-0000-0000-0000DB220000}"/>
    <cellStyle name="Normal 50 2 5 2" xfId="8957" xr:uid="{00000000-0005-0000-0000-0000DC220000}"/>
    <cellStyle name="Normal 50 2 6" xfId="8958" xr:uid="{00000000-0005-0000-0000-0000DD220000}"/>
    <cellStyle name="Normal 50 2 6 2" xfId="8959" xr:uid="{00000000-0005-0000-0000-0000DE220000}"/>
    <cellStyle name="Normal 50 2 7" xfId="8960" xr:uid="{00000000-0005-0000-0000-0000DF220000}"/>
    <cellStyle name="Normal 50 3" xfId="8961" xr:uid="{00000000-0005-0000-0000-0000E0220000}"/>
    <cellStyle name="Normal 50 3 2" xfId="8962" xr:uid="{00000000-0005-0000-0000-0000E1220000}"/>
    <cellStyle name="Normal 50 3 2 2" xfId="8963" xr:uid="{00000000-0005-0000-0000-0000E2220000}"/>
    <cellStyle name="Normal 50 3 2 2 2" xfId="8964" xr:uid="{00000000-0005-0000-0000-0000E3220000}"/>
    <cellStyle name="Normal 50 3 2 3" xfId="8965" xr:uid="{00000000-0005-0000-0000-0000E4220000}"/>
    <cellStyle name="Normal 50 3 2 3 2" xfId="8966" xr:uid="{00000000-0005-0000-0000-0000E5220000}"/>
    <cellStyle name="Normal 50 3 2 4" xfId="8967" xr:uid="{00000000-0005-0000-0000-0000E6220000}"/>
    <cellStyle name="Normal 50 3 3" xfId="8968" xr:uid="{00000000-0005-0000-0000-0000E7220000}"/>
    <cellStyle name="Normal 50 3 3 2" xfId="8969" xr:uid="{00000000-0005-0000-0000-0000E8220000}"/>
    <cellStyle name="Normal 50 3 3 2 2" xfId="8970" xr:uid="{00000000-0005-0000-0000-0000E9220000}"/>
    <cellStyle name="Normal 50 3 3 3" xfId="8971" xr:uid="{00000000-0005-0000-0000-0000EA220000}"/>
    <cellStyle name="Normal 50 3 4" xfId="8972" xr:uid="{00000000-0005-0000-0000-0000EB220000}"/>
    <cellStyle name="Normal 50 3 4 2" xfId="8973" xr:uid="{00000000-0005-0000-0000-0000EC220000}"/>
    <cellStyle name="Normal 50 3 5" xfId="8974" xr:uid="{00000000-0005-0000-0000-0000ED220000}"/>
    <cellStyle name="Normal 50 3 5 2" xfId="8975" xr:uid="{00000000-0005-0000-0000-0000EE220000}"/>
    <cellStyle name="Normal 50 3 6" xfId="8976" xr:uid="{00000000-0005-0000-0000-0000EF220000}"/>
    <cellStyle name="Normal 50 4" xfId="8977" xr:uid="{00000000-0005-0000-0000-0000F0220000}"/>
    <cellStyle name="Normal 50 4 2" xfId="8978" xr:uid="{00000000-0005-0000-0000-0000F1220000}"/>
    <cellStyle name="Normal 50 4 2 2" xfId="8979" xr:uid="{00000000-0005-0000-0000-0000F2220000}"/>
    <cellStyle name="Normal 50 4 3" xfId="8980" xr:uid="{00000000-0005-0000-0000-0000F3220000}"/>
    <cellStyle name="Normal 50 4 3 2" xfId="8981" xr:uid="{00000000-0005-0000-0000-0000F4220000}"/>
    <cellStyle name="Normal 50 4 4" xfId="8982" xr:uid="{00000000-0005-0000-0000-0000F5220000}"/>
    <cellStyle name="Normal 50 5" xfId="8983" xr:uid="{00000000-0005-0000-0000-0000F6220000}"/>
    <cellStyle name="Normal 50 5 2" xfId="8984" xr:uid="{00000000-0005-0000-0000-0000F7220000}"/>
    <cellStyle name="Normal 50 5 2 2" xfId="8985" xr:uid="{00000000-0005-0000-0000-0000F8220000}"/>
    <cellStyle name="Normal 50 5 3" xfId="8986" xr:uid="{00000000-0005-0000-0000-0000F9220000}"/>
    <cellStyle name="Normal 50 6" xfId="8987" xr:uid="{00000000-0005-0000-0000-0000FA220000}"/>
    <cellStyle name="Normal 50 6 2" xfId="8988" xr:uid="{00000000-0005-0000-0000-0000FB220000}"/>
    <cellStyle name="Normal 50 7" xfId="8989" xr:uid="{00000000-0005-0000-0000-0000FC220000}"/>
    <cellStyle name="Normal 50 7 2" xfId="8990" xr:uid="{00000000-0005-0000-0000-0000FD220000}"/>
    <cellStyle name="Normal 50 8" xfId="8991" xr:uid="{00000000-0005-0000-0000-0000FE220000}"/>
    <cellStyle name="Normal 51" xfId="8992" xr:uid="{00000000-0005-0000-0000-0000FF220000}"/>
    <cellStyle name="Normal 51 2" xfId="8993" xr:uid="{00000000-0005-0000-0000-000000230000}"/>
    <cellStyle name="Normal 51 2 2" xfId="8994" xr:uid="{00000000-0005-0000-0000-000001230000}"/>
    <cellStyle name="Normal 51 2 2 2" xfId="8995" xr:uid="{00000000-0005-0000-0000-000002230000}"/>
    <cellStyle name="Normal 51 2 2 2 2" xfId="8996" xr:uid="{00000000-0005-0000-0000-000003230000}"/>
    <cellStyle name="Normal 51 2 2 2 2 2" xfId="8997" xr:uid="{00000000-0005-0000-0000-000004230000}"/>
    <cellStyle name="Normal 51 2 2 2 3" xfId="8998" xr:uid="{00000000-0005-0000-0000-000005230000}"/>
    <cellStyle name="Normal 51 2 2 2 3 2" xfId="8999" xr:uid="{00000000-0005-0000-0000-000006230000}"/>
    <cellStyle name="Normal 51 2 2 2 4" xfId="9000" xr:uid="{00000000-0005-0000-0000-000007230000}"/>
    <cellStyle name="Normal 51 2 2 3" xfId="9001" xr:uid="{00000000-0005-0000-0000-000008230000}"/>
    <cellStyle name="Normal 51 2 2 3 2" xfId="9002" xr:uid="{00000000-0005-0000-0000-000009230000}"/>
    <cellStyle name="Normal 51 2 2 3 2 2" xfId="9003" xr:uid="{00000000-0005-0000-0000-00000A230000}"/>
    <cellStyle name="Normal 51 2 2 3 3" xfId="9004" xr:uid="{00000000-0005-0000-0000-00000B230000}"/>
    <cellStyle name="Normal 51 2 2 4" xfId="9005" xr:uid="{00000000-0005-0000-0000-00000C230000}"/>
    <cellStyle name="Normal 51 2 2 4 2" xfId="9006" xr:uid="{00000000-0005-0000-0000-00000D230000}"/>
    <cellStyle name="Normal 51 2 2 5" xfId="9007" xr:uid="{00000000-0005-0000-0000-00000E230000}"/>
    <cellStyle name="Normal 51 2 2 5 2" xfId="9008" xr:uid="{00000000-0005-0000-0000-00000F230000}"/>
    <cellStyle name="Normal 51 2 2 6" xfId="9009" xr:uid="{00000000-0005-0000-0000-000010230000}"/>
    <cellStyle name="Normal 51 2 3" xfId="9010" xr:uid="{00000000-0005-0000-0000-000011230000}"/>
    <cellStyle name="Normal 51 2 3 2" xfId="9011" xr:uid="{00000000-0005-0000-0000-000012230000}"/>
    <cellStyle name="Normal 51 2 3 2 2" xfId="9012" xr:uid="{00000000-0005-0000-0000-000013230000}"/>
    <cellStyle name="Normal 51 2 3 3" xfId="9013" xr:uid="{00000000-0005-0000-0000-000014230000}"/>
    <cellStyle name="Normal 51 2 3 3 2" xfId="9014" xr:uid="{00000000-0005-0000-0000-000015230000}"/>
    <cellStyle name="Normal 51 2 3 4" xfId="9015" xr:uid="{00000000-0005-0000-0000-000016230000}"/>
    <cellStyle name="Normal 51 2 4" xfId="9016" xr:uid="{00000000-0005-0000-0000-000017230000}"/>
    <cellStyle name="Normal 51 2 4 2" xfId="9017" xr:uid="{00000000-0005-0000-0000-000018230000}"/>
    <cellStyle name="Normal 51 2 4 2 2" xfId="9018" xr:uid="{00000000-0005-0000-0000-000019230000}"/>
    <cellStyle name="Normal 51 2 4 3" xfId="9019" xr:uid="{00000000-0005-0000-0000-00001A230000}"/>
    <cellStyle name="Normal 51 2 5" xfId="9020" xr:uid="{00000000-0005-0000-0000-00001B230000}"/>
    <cellStyle name="Normal 51 2 5 2" xfId="9021" xr:uid="{00000000-0005-0000-0000-00001C230000}"/>
    <cellStyle name="Normal 51 2 6" xfId="9022" xr:uid="{00000000-0005-0000-0000-00001D230000}"/>
    <cellStyle name="Normal 51 2 6 2" xfId="9023" xr:uid="{00000000-0005-0000-0000-00001E230000}"/>
    <cellStyle name="Normal 51 2 7" xfId="9024" xr:uid="{00000000-0005-0000-0000-00001F230000}"/>
    <cellStyle name="Normal 51 3" xfId="9025" xr:uid="{00000000-0005-0000-0000-000020230000}"/>
    <cellStyle name="Normal 51 3 2" xfId="9026" xr:uid="{00000000-0005-0000-0000-000021230000}"/>
    <cellStyle name="Normal 51 3 2 2" xfId="9027" xr:uid="{00000000-0005-0000-0000-000022230000}"/>
    <cellStyle name="Normal 51 3 2 2 2" xfId="9028" xr:uid="{00000000-0005-0000-0000-000023230000}"/>
    <cellStyle name="Normal 51 3 2 3" xfId="9029" xr:uid="{00000000-0005-0000-0000-000024230000}"/>
    <cellStyle name="Normal 51 3 2 3 2" xfId="9030" xr:uid="{00000000-0005-0000-0000-000025230000}"/>
    <cellStyle name="Normal 51 3 2 4" xfId="9031" xr:uid="{00000000-0005-0000-0000-000026230000}"/>
    <cellStyle name="Normal 51 3 3" xfId="9032" xr:uid="{00000000-0005-0000-0000-000027230000}"/>
    <cellStyle name="Normal 51 3 3 2" xfId="9033" xr:uid="{00000000-0005-0000-0000-000028230000}"/>
    <cellStyle name="Normal 51 3 3 2 2" xfId="9034" xr:uid="{00000000-0005-0000-0000-000029230000}"/>
    <cellStyle name="Normal 51 3 3 3" xfId="9035" xr:uid="{00000000-0005-0000-0000-00002A230000}"/>
    <cellStyle name="Normal 51 3 4" xfId="9036" xr:uid="{00000000-0005-0000-0000-00002B230000}"/>
    <cellStyle name="Normal 51 3 4 2" xfId="9037" xr:uid="{00000000-0005-0000-0000-00002C230000}"/>
    <cellStyle name="Normal 51 3 5" xfId="9038" xr:uid="{00000000-0005-0000-0000-00002D230000}"/>
    <cellStyle name="Normal 51 3 5 2" xfId="9039" xr:uid="{00000000-0005-0000-0000-00002E230000}"/>
    <cellStyle name="Normal 51 3 6" xfId="9040" xr:uid="{00000000-0005-0000-0000-00002F230000}"/>
    <cellStyle name="Normal 51 4" xfId="9041" xr:uid="{00000000-0005-0000-0000-000030230000}"/>
    <cellStyle name="Normal 51 4 2" xfId="9042" xr:uid="{00000000-0005-0000-0000-000031230000}"/>
    <cellStyle name="Normal 51 4 2 2" xfId="9043" xr:uid="{00000000-0005-0000-0000-000032230000}"/>
    <cellStyle name="Normal 51 4 3" xfId="9044" xr:uid="{00000000-0005-0000-0000-000033230000}"/>
    <cellStyle name="Normal 51 4 3 2" xfId="9045" xr:uid="{00000000-0005-0000-0000-000034230000}"/>
    <cellStyle name="Normal 51 4 4" xfId="9046" xr:uid="{00000000-0005-0000-0000-000035230000}"/>
    <cellStyle name="Normal 51 5" xfId="9047" xr:uid="{00000000-0005-0000-0000-000036230000}"/>
    <cellStyle name="Normal 51 5 2" xfId="9048" xr:uid="{00000000-0005-0000-0000-000037230000}"/>
    <cellStyle name="Normal 51 5 2 2" xfId="9049" xr:uid="{00000000-0005-0000-0000-000038230000}"/>
    <cellStyle name="Normal 51 5 3" xfId="9050" xr:uid="{00000000-0005-0000-0000-000039230000}"/>
    <cellStyle name="Normal 51 6" xfId="9051" xr:uid="{00000000-0005-0000-0000-00003A230000}"/>
    <cellStyle name="Normal 51 6 2" xfId="9052" xr:uid="{00000000-0005-0000-0000-00003B230000}"/>
    <cellStyle name="Normal 51 7" xfId="9053" xr:uid="{00000000-0005-0000-0000-00003C230000}"/>
    <cellStyle name="Normal 51 7 2" xfId="9054" xr:uid="{00000000-0005-0000-0000-00003D230000}"/>
    <cellStyle name="Normal 51 8" xfId="9055" xr:uid="{00000000-0005-0000-0000-00003E230000}"/>
    <cellStyle name="Normal 52" xfId="9056" xr:uid="{00000000-0005-0000-0000-00003F230000}"/>
    <cellStyle name="Normal 52 2" xfId="9057" xr:uid="{00000000-0005-0000-0000-000040230000}"/>
    <cellStyle name="Normal 52 2 2" xfId="9058" xr:uid="{00000000-0005-0000-0000-000041230000}"/>
    <cellStyle name="Normal 52 2 2 2" xfId="9059" xr:uid="{00000000-0005-0000-0000-000042230000}"/>
    <cellStyle name="Normal 52 2 2 2 2" xfId="9060" xr:uid="{00000000-0005-0000-0000-000043230000}"/>
    <cellStyle name="Normal 52 2 2 2 2 2" xfId="9061" xr:uid="{00000000-0005-0000-0000-000044230000}"/>
    <cellStyle name="Normal 52 2 2 2 3" xfId="9062" xr:uid="{00000000-0005-0000-0000-000045230000}"/>
    <cellStyle name="Normal 52 2 2 2 3 2" xfId="9063" xr:uid="{00000000-0005-0000-0000-000046230000}"/>
    <cellStyle name="Normal 52 2 2 2 4" xfId="9064" xr:uid="{00000000-0005-0000-0000-000047230000}"/>
    <cellStyle name="Normal 52 2 2 3" xfId="9065" xr:uid="{00000000-0005-0000-0000-000048230000}"/>
    <cellStyle name="Normal 52 2 2 3 2" xfId="9066" xr:uid="{00000000-0005-0000-0000-000049230000}"/>
    <cellStyle name="Normal 52 2 2 3 2 2" xfId="9067" xr:uid="{00000000-0005-0000-0000-00004A230000}"/>
    <cellStyle name="Normal 52 2 2 3 3" xfId="9068" xr:uid="{00000000-0005-0000-0000-00004B230000}"/>
    <cellStyle name="Normal 52 2 2 4" xfId="9069" xr:uid="{00000000-0005-0000-0000-00004C230000}"/>
    <cellStyle name="Normal 52 2 2 4 2" xfId="9070" xr:uid="{00000000-0005-0000-0000-00004D230000}"/>
    <cellStyle name="Normal 52 2 2 5" xfId="9071" xr:uid="{00000000-0005-0000-0000-00004E230000}"/>
    <cellStyle name="Normal 52 2 2 5 2" xfId="9072" xr:uid="{00000000-0005-0000-0000-00004F230000}"/>
    <cellStyle name="Normal 52 2 2 6" xfId="9073" xr:uid="{00000000-0005-0000-0000-000050230000}"/>
    <cellStyle name="Normal 52 2 3" xfId="9074" xr:uid="{00000000-0005-0000-0000-000051230000}"/>
    <cellStyle name="Normal 52 2 3 2" xfId="9075" xr:uid="{00000000-0005-0000-0000-000052230000}"/>
    <cellStyle name="Normal 52 2 3 2 2" xfId="9076" xr:uid="{00000000-0005-0000-0000-000053230000}"/>
    <cellStyle name="Normal 52 2 3 3" xfId="9077" xr:uid="{00000000-0005-0000-0000-000054230000}"/>
    <cellStyle name="Normal 52 2 3 3 2" xfId="9078" xr:uid="{00000000-0005-0000-0000-000055230000}"/>
    <cellStyle name="Normal 52 2 3 4" xfId="9079" xr:uid="{00000000-0005-0000-0000-000056230000}"/>
    <cellStyle name="Normal 52 2 4" xfId="9080" xr:uid="{00000000-0005-0000-0000-000057230000}"/>
    <cellStyle name="Normal 52 2 4 2" xfId="9081" xr:uid="{00000000-0005-0000-0000-000058230000}"/>
    <cellStyle name="Normal 52 2 4 2 2" xfId="9082" xr:uid="{00000000-0005-0000-0000-000059230000}"/>
    <cellStyle name="Normal 52 2 4 3" xfId="9083" xr:uid="{00000000-0005-0000-0000-00005A230000}"/>
    <cellStyle name="Normal 52 2 5" xfId="9084" xr:uid="{00000000-0005-0000-0000-00005B230000}"/>
    <cellStyle name="Normal 52 2 5 2" xfId="9085" xr:uid="{00000000-0005-0000-0000-00005C230000}"/>
    <cellStyle name="Normal 52 2 6" xfId="9086" xr:uid="{00000000-0005-0000-0000-00005D230000}"/>
    <cellStyle name="Normal 52 2 6 2" xfId="9087" xr:uid="{00000000-0005-0000-0000-00005E230000}"/>
    <cellStyle name="Normal 52 2 7" xfId="9088" xr:uid="{00000000-0005-0000-0000-00005F230000}"/>
    <cellStyle name="Normal 52 3" xfId="9089" xr:uid="{00000000-0005-0000-0000-000060230000}"/>
    <cellStyle name="Normal 52 3 2" xfId="9090" xr:uid="{00000000-0005-0000-0000-000061230000}"/>
    <cellStyle name="Normal 52 3 2 2" xfId="9091" xr:uid="{00000000-0005-0000-0000-000062230000}"/>
    <cellStyle name="Normal 52 3 2 2 2" xfId="9092" xr:uid="{00000000-0005-0000-0000-000063230000}"/>
    <cellStyle name="Normal 52 3 2 3" xfId="9093" xr:uid="{00000000-0005-0000-0000-000064230000}"/>
    <cellStyle name="Normal 52 3 2 3 2" xfId="9094" xr:uid="{00000000-0005-0000-0000-000065230000}"/>
    <cellStyle name="Normal 52 3 2 4" xfId="9095" xr:uid="{00000000-0005-0000-0000-000066230000}"/>
    <cellStyle name="Normal 52 3 3" xfId="9096" xr:uid="{00000000-0005-0000-0000-000067230000}"/>
    <cellStyle name="Normal 52 3 3 2" xfId="9097" xr:uid="{00000000-0005-0000-0000-000068230000}"/>
    <cellStyle name="Normal 52 3 3 2 2" xfId="9098" xr:uid="{00000000-0005-0000-0000-000069230000}"/>
    <cellStyle name="Normal 52 3 3 3" xfId="9099" xr:uid="{00000000-0005-0000-0000-00006A230000}"/>
    <cellStyle name="Normal 52 3 4" xfId="9100" xr:uid="{00000000-0005-0000-0000-00006B230000}"/>
    <cellStyle name="Normal 52 3 4 2" xfId="9101" xr:uid="{00000000-0005-0000-0000-00006C230000}"/>
    <cellStyle name="Normal 52 3 5" xfId="9102" xr:uid="{00000000-0005-0000-0000-00006D230000}"/>
    <cellStyle name="Normal 52 3 5 2" xfId="9103" xr:uid="{00000000-0005-0000-0000-00006E230000}"/>
    <cellStyle name="Normal 52 3 6" xfId="9104" xr:uid="{00000000-0005-0000-0000-00006F230000}"/>
    <cellStyle name="Normal 52 4" xfId="9105" xr:uid="{00000000-0005-0000-0000-000070230000}"/>
    <cellStyle name="Normal 52 4 2" xfId="9106" xr:uid="{00000000-0005-0000-0000-000071230000}"/>
    <cellStyle name="Normal 52 4 2 2" xfId="9107" xr:uid="{00000000-0005-0000-0000-000072230000}"/>
    <cellStyle name="Normal 52 4 3" xfId="9108" xr:uid="{00000000-0005-0000-0000-000073230000}"/>
    <cellStyle name="Normal 52 4 3 2" xfId="9109" xr:uid="{00000000-0005-0000-0000-000074230000}"/>
    <cellStyle name="Normal 52 4 4" xfId="9110" xr:uid="{00000000-0005-0000-0000-000075230000}"/>
    <cellStyle name="Normal 52 5" xfId="9111" xr:uid="{00000000-0005-0000-0000-000076230000}"/>
    <cellStyle name="Normal 52 5 2" xfId="9112" xr:uid="{00000000-0005-0000-0000-000077230000}"/>
    <cellStyle name="Normal 52 5 2 2" xfId="9113" xr:uid="{00000000-0005-0000-0000-000078230000}"/>
    <cellStyle name="Normal 52 5 3" xfId="9114" xr:uid="{00000000-0005-0000-0000-000079230000}"/>
    <cellStyle name="Normal 52 6" xfId="9115" xr:uid="{00000000-0005-0000-0000-00007A230000}"/>
    <cellStyle name="Normal 52 6 2" xfId="9116" xr:uid="{00000000-0005-0000-0000-00007B230000}"/>
    <cellStyle name="Normal 52 7" xfId="9117" xr:uid="{00000000-0005-0000-0000-00007C230000}"/>
    <cellStyle name="Normal 52 7 2" xfId="9118" xr:uid="{00000000-0005-0000-0000-00007D230000}"/>
    <cellStyle name="Normal 52 8" xfId="9119" xr:uid="{00000000-0005-0000-0000-00007E230000}"/>
    <cellStyle name="Normal 53" xfId="9120" xr:uid="{00000000-0005-0000-0000-00007F230000}"/>
    <cellStyle name="Normal 53 2" xfId="9121" xr:uid="{00000000-0005-0000-0000-000080230000}"/>
    <cellStyle name="Normal 53 2 2" xfId="9122" xr:uid="{00000000-0005-0000-0000-000081230000}"/>
    <cellStyle name="Normal 53 2 2 2" xfId="9123" xr:uid="{00000000-0005-0000-0000-000082230000}"/>
    <cellStyle name="Normal 53 2 2 2 2" xfId="9124" xr:uid="{00000000-0005-0000-0000-000083230000}"/>
    <cellStyle name="Normal 53 2 2 2 2 2" xfId="9125" xr:uid="{00000000-0005-0000-0000-000084230000}"/>
    <cellStyle name="Normal 53 2 2 2 3" xfId="9126" xr:uid="{00000000-0005-0000-0000-000085230000}"/>
    <cellStyle name="Normal 53 2 2 2 3 2" xfId="9127" xr:uid="{00000000-0005-0000-0000-000086230000}"/>
    <cellStyle name="Normal 53 2 2 2 4" xfId="9128" xr:uid="{00000000-0005-0000-0000-000087230000}"/>
    <cellStyle name="Normal 53 2 2 3" xfId="9129" xr:uid="{00000000-0005-0000-0000-000088230000}"/>
    <cellStyle name="Normal 53 2 2 3 2" xfId="9130" xr:uid="{00000000-0005-0000-0000-000089230000}"/>
    <cellStyle name="Normal 53 2 2 3 2 2" xfId="9131" xr:uid="{00000000-0005-0000-0000-00008A230000}"/>
    <cellStyle name="Normal 53 2 2 3 3" xfId="9132" xr:uid="{00000000-0005-0000-0000-00008B230000}"/>
    <cellStyle name="Normal 53 2 2 4" xfId="9133" xr:uid="{00000000-0005-0000-0000-00008C230000}"/>
    <cellStyle name="Normal 53 2 2 4 2" xfId="9134" xr:uid="{00000000-0005-0000-0000-00008D230000}"/>
    <cellStyle name="Normal 53 2 2 5" xfId="9135" xr:uid="{00000000-0005-0000-0000-00008E230000}"/>
    <cellStyle name="Normal 53 2 2 5 2" xfId="9136" xr:uid="{00000000-0005-0000-0000-00008F230000}"/>
    <cellStyle name="Normal 53 2 2 6" xfId="9137" xr:uid="{00000000-0005-0000-0000-000090230000}"/>
    <cellStyle name="Normal 53 2 3" xfId="9138" xr:uid="{00000000-0005-0000-0000-000091230000}"/>
    <cellStyle name="Normal 53 2 3 2" xfId="9139" xr:uid="{00000000-0005-0000-0000-000092230000}"/>
    <cellStyle name="Normal 53 2 3 2 2" xfId="9140" xr:uid="{00000000-0005-0000-0000-000093230000}"/>
    <cellStyle name="Normal 53 2 3 3" xfId="9141" xr:uid="{00000000-0005-0000-0000-000094230000}"/>
    <cellStyle name="Normal 53 2 3 3 2" xfId="9142" xr:uid="{00000000-0005-0000-0000-000095230000}"/>
    <cellStyle name="Normal 53 2 3 4" xfId="9143" xr:uid="{00000000-0005-0000-0000-000096230000}"/>
    <cellStyle name="Normal 53 2 4" xfId="9144" xr:uid="{00000000-0005-0000-0000-000097230000}"/>
    <cellStyle name="Normal 53 2 4 2" xfId="9145" xr:uid="{00000000-0005-0000-0000-000098230000}"/>
    <cellStyle name="Normal 53 2 4 2 2" xfId="9146" xr:uid="{00000000-0005-0000-0000-000099230000}"/>
    <cellStyle name="Normal 53 2 4 3" xfId="9147" xr:uid="{00000000-0005-0000-0000-00009A230000}"/>
    <cellStyle name="Normal 53 2 5" xfId="9148" xr:uid="{00000000-0005-0000-0000-00009B230000}"/>
    <cellStyle name="Normal 53 2 5 2" xfId="9149" xr:uid="{00000000-0005-0000-0000-00009C230000}"/>
    <cellStyle name="Normal 53 2 6" xfId="9150" xr:uid="{00000000-0005-0000-0000-00009D230000}"/>
    <cellStyle name="Normal 53 2 6 2" xfId="9151" xr:uid="{00000000-0005-0000-0000-00009E230000}"/>
    <cellStyle name="Normal 53 2 7" xfId="9152" xr:uid="{00000000-0005-0000-0000-00009F230000}"/>
    <cellStyle name="Normal 53 3" xfId="9153" xr:uid="{00000000-0005-0000-0000-0000A0230000}"/>
    <cellStyle name="Normal 53 3 2" xfId="9154" xr:uid="{00000000-0005-0000-0000-0000A1230000}"/>
    <cellStyle name="Normal 53 3 2 2" xfId="9155" xr:uid="{00000000-0005-0000-0000-0000A2230000}"/>
    <cellStyle name="Normal 53 3 2 2 2" xfId="9156" xr:uid="{00000000-0005-0000-0000-0000A3230000}"/>
    <cellStyle name="Normal 53 3 2 3" xfId="9157" xr:uid="{00000000-0005-0000-0000-0000A4230000}"/>
    <cellStyle name="Normal 53 3 2 3 2" xfId="9158" xr:uid="{00000000-0005-0000-0000-0000A5230000}"/>
    <cellStyle name="Normal 53 3 2 4" xfId="9159" xr:uid="{00000000-0005-0000-0000-0000A6230000}"/>
    <cellStyle name="Normal 53 3 3" xfId="9160" xr:uid="{00000000-0005-0000-0000-0000A7230000}"/>
    <cellStyle name="Normal 53 3 3 2" xfId="9161" xr:uid="{00000000-0005-0000-0000-0000A8230000}"/>
    <cellStyle name="Normal 53 3 3 2 2" xfId="9162" xr:uid="{00000000-0005-0000-0000-0000A9230000}"/>
    <cellStyle name="Normal 53 3 3 3" xfId="9163" xr:uid="{00000000-0005-0000-0000-0000AA230000}"/>
    <cellStyle name="Normal 53 3 4" xfId="9164" xr:uid="{00000000-0005-0000-0000-0000AB230000}"/>
    <cellStyle name="Normal 53 3 4 2" xfId="9165" xr:uid="{00000000-0005-0000-0000-0000AC230000}"/>
    <cellStyle name="Normal 53 3 5" xfId="9166" xr:uid="{00000000-0005-0000-0000-0000AD230000}"/>
    <cellStyle name="Normal 53 3 5 2" xfId="9167" xr:uid="{00000000-0005-0000-0000-0000AE230000}"/>
    <cellStyle name="Normal 53 3 6" xfId="9168" xr:uid="{00000000-0005-0000-0000-0000AF230000}"/>
    <cellStyle name="Normal 53 4" xfId="9169" xr:uid="{00000000-0005-0000-0000-0000B0230000}"/>
    <cellStyle name="Normal 53 4 2" xfId="9170" xr:uid="{00000000-0005-0000-0000-0000B1230000}"/>
    <cellStyle name="Normal 53 4 2 2" xfId="9171" xr:uid="{00000000-0005-0000-0000-0000B2230000}"/>
    <cellStyle name="Normal 53 4 3" xfId="9172" xr:uid="{00000000-0005-0000-0000-0000B3230000}"/>
    <cellStyle name="Normal 53 4 3 2" xfId="9173" xr:uid="{00000000-0005-0000-0000-0000B4230000}"/>
    <cellStyle name="Normal 53 4 4" xfId="9174" xr:uid="{00000000-0005-0000-0000-0000B5230000}"/>
    <cellStyle name="Normal 53 5" xfId="9175" xr:uid="{00000000-0005-0000-0000-0000B6230000}"/>
    <cellStyle name="Normal 53 5 2" xfId="9176" xr:uid="{00000000-0005-0000-0000-0000B7230000}"/>
    <cellStyle name="Normal 53 5 2 2" xfId="9177" xr:uid="{00000000-0005-0000-0000-0000B8230000}"/>
    <cellStyle name="Normal 53 5 3" xfId="9178" xr:uid="{00000000-0005-0000-0000-0000B9230000}"/>
    <cellStyle name="Normal 53 6" xfId="9179" xr:uid="{00000000-0005-0000-0000-0000BA230000}"/>
    <cellStyle name="Normal 53 6 2" xfId="9180" xr:uid="{00000000-0005-0000-0000-0000BB230000}"/>
    <cellStyle name="Normal 53 7" xfId="9181" xr:uid="{00000000-0005-0000-0000-0000BC230000}"/>
    <cellStyle name="Normal 53 7 2" xfId="9182" xr:uid="{00000000-0005-0000-0000-0000BD230000}"/>
    <cellStyle name="Normal 53 8" xfId="9183" xr:uid="{00000000-0005-0000-0000-0000BE230000}"/>
    <cellStyle name="Normal 54" xfId="9184" xr:uid="{00000000-0005-0000-0000-0000BF230000}"/>
    <cellStyle name="Normal 54 2" xfId="9185" xr:uid="{00000000-0005-0000-0000-0000C0230000}"/>
    <cellStyle name="Normal 54 2 2" xfId="9186" xr:uid="{00000000-0005-0000-0000-0000C1230000}"/>
    <cellStyle name="Normal 54 2 2 2" xfId="9187" xr:uid="{00000000-0005-0000-0000-0000C2230000}"/>
    <cellStyle name="Normal 54 2 2 2 2" xfId="9188" xr:uid="{00000000-0005-0000-0000-0000C3230000}"/>
    <cellStyle name="Normal 54 2 2 2 2 2" xfId="9189" xr:uid="{00000000-0005-0000-0000-0000C4230000}"/>
    <cellStyle name="Normal 54 2 2 2 3" xfId="9190" xr:uid="{00000000-0005-0000-0000-0000C5230000}"/>
    <cellStyle name="Normal 54 2 2 2 3 2" xfId="9191" xr:uid="{00000000-0005-0000-0000-0000C6230000}"/>
    <cellStyle name="Normal 54 2 2 2 4" xfId="9192" xr:uid="{00000000-0005-0000-0000-0000C7230000}"/>
    <cellStyle name="Normal 54 2 2 3" xfId="9193" xr:uid="{00000000-0005-0000-0000-0000C8230000}"/>
    <cellStyle name="Normal 54 2 2 3 2" xfId="9194" xr:uid="{00000000-0005-0000-0000-0000C9230000}"/>
    <cellStyle name="Normal 54 2 2 3 2 2" xfId="9195" xr:uid="{00000000-0005-0000-0000-0000CA230000}"/>
    <cellStyle name="Normal 54 2 2 3 3" xfId="9196" xr:uid="{00000000-0005-0000-0000-0000CB230000}"/>
    <cellStyle name="Normal 54 2 2 4" xfId="9197" xr:uid="{00000000-0005-0000-0000-0000CC230000}"/>
    <cellStyle name="Normal 54 2 2 4 2" xfId="9198" xr:uid="{00000000-0005-0000-0000-0000CD230000}"/>
    <cellStyle name="Normal 54 2 2 5" xfId="9199" xr:uid="{00000000-0005-0000-0000-0000CE230000}"/>
    <cellStyle name="Normal 54 2 2 5 2" xfId="9200" xr:uid="{00000000-0005-0000-0000-0000CF230000}"/>
    <cellStyle name="Normal 54 2 2 6" xfId="9201" xr:uid="{00000000-0005-0000-0000-0000D0230000}"/>
    <cellStyle name="Normal 54 2 3" xfId="9202" xr:uid="{00000000-0005-0000-0000-0000D1230000}"/>
    <cellStyle name="Normal 54 2 3 2" xfId="9203" xr:uid="{00000000-0005-0000-0000-0000D2230000}"/>
    <cellStyle name="Normal 54 2 3 2 2" xfId="9204" xr:uid="{00000000-0005-0000-0000-0000D3230000}"/>
    <cellStyle name="Normal 54 2 3 3" xfId="9205" xr:uid="{00000000-0005-0000-0000-0000D4230000}"/>
    <cellStyle name="Normal 54 2 3 3 2" xfId="9206" xr:uid="{00000000-0005-0000-0000-0000D5230000}"/>
    <cellStyle name="Normal 54 2 3 4" xfId="9207" xr:uid="{00000000-0005-0000-0000-0000D6230000}"/>
    <cellStyle name="Normal 54 2 4" xfId="9208" xr:uid="{00000000-0005-0000-0000-0000D7230000}"/>
    <cellStyle name="Normal 54 2 4 2" xfId="9209" xr:uid="{00000000-0005-0000-0000-0000D8230000}"/>
    <cellStyle name="Normal 54 2 4 2 2" xfId="9210" xr:uid="{00000000-0005-0000-0000-0000D9230000}"/>
    <cellStyle name="Normal 54 2 4 3" xfId="9211" xr:uid="{00000000-0005-0000-0000-0000DA230000}"/>
    <cellStyle name="Normal 54 2 5" xfId="9212" xr:uid="{00000000-0005-0000-0000-0000DB230000}"/>
    <cellStyle name="Normal 54 2 5 2" xfId="9213" xr:uid="{00000000-0005-0000-0000-0000DC230000}"/>
    <cellStyle name="Normal 54 2 6" xfId="9214" xr:uid="{00000000-0005-0000-0000-0000DD230000}"/>
    <cellStyle name="Normal 54 2 6 2" xfId="9215" xr:uid="{00000000-0005-0000-0000-0000DE230000}"/>
    <cellStyle name="Normal 54 2 7" xfId="9216" xr:uid="{00000000-0005-0000-0000-0000DF230000}"/>
    <cellStyle name="Normal 54 3" xfId="9217" xr:uid="{00000000-0005-0000-0000-0000E0230000}"/>
    <cellStyle name="Normal 54 3 2" xfId="9218" xr:uid="{00000000-0005-0000-0000-0000E1230000}"/>
    <cellStyle name="Normal 54 3 2 2" xfId="9219" xr:uid="{00000000-0005-0000-0000-0000E2230000}"/>
    <cellStyle name="Normal 54 3 2 2 2" xfId="9220" xr:uid="{00000000-0005-0000-0000-0000E3230000}"/>
    <cellStyle name="Normal 54 3 2 3" xfId="9221" xr:uid="{00000000-0005-0000-0000-0000E4230000}"/>
    <cellStyle name="Normal 54 3 2 3 2" xfId="9222" xr:uid="{00000000-0005-0000-0000-0000E5230000}"/>
    <cellStyle name="Normal 54 3 2 4" xfId="9223" xr:uid="{00000000-0005-0000-0000-0000E6230000}"/>
    <cellStyle name="Normal 54 3 3" xfId="9224" xr:uid="{00000000-0005-0000-0000-0000E7230000}"/>
    <cellStyle name="Normal 54 3 3 2" xfId="9225" xr:uid="{00000000-0005-0000-0000-0000E8230000}"/>
    <cellStyle name="Normal 54 3 3 2 2" xfId="9226" xr:uid="{00000000-0005-0000-0000-0000E9230000}"/>
    <cellStyle name="Normal 54 3 3 3" xfId="9227" xr:uid="{00000000-0005-0000-0000-0000EA230000}"/>
    <cellStyle name="Normal 54 3 4" xfId="9228" xr:uid="{00000000-0005-0000-0000-0000EB230000}"/>
    <cellStyle name="Normal 54 3 4 2" xfId="9229" xr:uid="{00000000-0005-0000-0000-0000EC230000}"/>
    <cellStyle name="Normal 54 3 5" xfId="9230" xr:uid="{00000000-0005-0000-0000-0000ED230000}"/>
    <cellStyle name="Normal 54 3 5 2" xfId="9231" xr:uid="{00000000-0005-0000-0000-0000EE230000}"/>
    <cellStyle name="Normal 54 3 6" xfId="9232" xr:uid="{00000000-0005-0000-0000-0000EF230000}"/>
    <cellStyle name="Normal 54 4" xfId="9233" xr:uid="{00000000-0005-0000-0000-0000F0230000}"/>
    <cellStyle name="Normal 54 4 2" xfId="9234" xr:uid="{00000000-0005-0000-0000-0000F1230000}"/>
    <cellStyle name="Normal 54 4 2 2" xfId="9235" xr:uid="{00000000-0005-0000-0000-0000F2230000}"/>
    <cellStyle name="Normal 54 4 3" xfId="9236" xr:uid="{00000000-0005-0000-0000-0000F3230000}"/>
    <cellStyle name="Normal 54 4 3 2" xfId="9237" xr:uid="{00000000-0005-0000-0000-0000F4230000}"/>
    <cellStyle name="Normal 54 4 4" xfId="9238" xr:uid="{00000000-0005-0000-0000-0000F5230000}"/>
    <cellStyle name="Normal 54 5" xfId="9239" xr:uid="{00000000-0005-0000-0000-0000F6230000}"/>
    <cellStyle name="Normal 54 5 2" xfId="9240" xr:uid="{00000000-0005-0000-0000-0000F7230000}"/>
    <cellStyle name="Normal 54 5 2 2" xfId="9241" xr:uid="{00000000-0005-0000-0000-0000F8230000}"/>
    <cellStyle name="Normal 54 5 3" xfId="9242" xr:uid="{00000000-0005-0000-0000-0000F9230000}"/>
    <cellStyle name="Normal 54 6" xfId="9243" xr:uid="{00000000-0005-0000-0000-0000FA230000}"/>
    <cellStyle name="Normal 54 6 2" xfId="9244" xr:uid="{00000000-0005-0000-0000-0000FB230000}"/>
    <cellStyle name="Normal 54 7" xfId="9245" xr:uid="{00000000-0005-0000-0000-0000FC230000}"/>
    <cellStyle name="Normal 54 7 2" xfId="9246" xr:uid="{00000000-0005-0000-0000-0000FD230000}"/>
    <cellStyle name="Normal 54 8" xfId="9247" xr:uid="{00000000-0005-0000-0000-0000FE230000}"/>
    <cellStyle name="Normal 55" xfId="9248" xr:uid="{00000000-0005-0000-0000-0000FF230000}"/>
    <cellStyle name="Normal 55 2" xfId="9249" xr:uid="{00000000-0005-0000-0000-000000240000}"/>
    <cellStyle name="Normal 55 2 2" xfId="9250" xr:uid="{00000000-0005-0000-0000-000001240000}"/>
    <cellStyle name="Normal 55 2 2 2" xfId="9251" xr:uid="{00000000-0005-0000-0000-000002240000}"/>
    <cellStyle name="Normal 55 2 2 2 2" xfId="9252" xr:uid="{00000000-0005-0000-0000-000003240000}"/>
    <cellStyle name="Normal 55 2 2 2 2 2" xfId="9253" xr:uid="{00000000-0005-0000-0000-000004240000}"/>
    <cellStyle name="Normal 55 2 2 2 3" xfId="9254" xr:uid="{00000000-0005-0000-0000-000005240000}"/>
    <cellStyle name="Normal 55 2 2 2 3 2" xfId="9255" xr:uid="{00000000-0005-0000-0000-000006240000}"/>
    <cellStyle name="Normal 55 2 2 2 4" xfId="9256" xr:uid="{00000000-0005-0000-0000-000007240000}"/>
    <cellStyle name="Normal 55 2 2 3" xfId="9257" xr:uid="{00000000-0005-0000-0000-000008240000}"/>
    <cellStyle name="Normal 55 2 2 3 2" xfId="9258" xr:uid="{00000000-0005-0000-0000-000009240000}"/>
    <cellStyle name="Normal 55 2 2 3 2 2" xfId="9259" xr:uid="{00000000-0005-0000-0000-00000A240000}"/>
    <cellStyle name="Normal 55 2 2 3 3" xfId="9260" xr:uid="{00000000-0005-0000-0000-00000B240000}"/>
    <cellStyle name="Normal 55 2 2 4" xfId="9261" xr:uid="{00000000-0005-0000-0000-00000C240000}"/>
    <cellStyle name="Normal 55 2 2 4 2" xfId="9262" xr:uid="{00000000-0005-0000-0000-00000D240000}"/>
    <cellStyle name="Normal 55 2 2 5" xfId="9263" xr:uid="{00000000-0005-0000-0000-00000E240000}"/>
    <cellStyle name="Normal 55 2 2 5 2" xfId="9264" xr:uid="{00000000-0005-0000-0000-00000F240000}"/>
    <cellStyle name="Normal 55 2 2 6" xfId="9265" xr:uid="{00000000-0005-0000-0000-000010240000}"/>
    <cellStyle name="Normal 55 2 3" xfId="9266" xr:uid="{00000000-0005-0000-0000-000011240000}"/>
    <cellStyle name="Normal 55 2 3 2" xfId="9267" xr:uid="{00000000-0005-0000-0000-000012240000}"/>
    <cellStyle name="Normal 55 2 3 2 2" xfId="9268" xr:uid="{00000000-0005-0000-0000-000013240000}"/>
    <cellStyle name="Normal 55 2 3 3" xfId="9269" xr:uid="{00000000-0005-0000-0000-000014240000}"/>
    <cellStyle name="Normal 55 2 3 3 2" xfId="9270" xr:uid="{00000000-0005-0000-0000-000015240000}"/>
    <cellStyle name="Normal 55 2 3 4" xfId="9271" xr:uid="{00000000-0005-0000-0000-000016240000}"/>
    <cellStyle name="Normal 55 2 4" xfId="9272" xr:uid="{00000000-0005-0000-0000-000017240000}"/>
    <cellStyle name="Normal 55 2 4 2" xfId="9273" xr:uid="{00000000-0005-0000-0000-000018240000}"/>
    <cellStyle name="Normal 55 2 4 2 2" xfId="9274" xr:uid="{00000000-0005-0000-0000-000019240000}"/>
    <cellStyle name="Normal 55 2 4 3" xfId="9275" xr:uid="{00000000-0005-0000-0000-00001A240000}"/>
    <cellStyle name="Normal 55 2 5" xfId="9276" xr:uid="{00000000-0005-0000-0000-00001B240000}"/>
    <cellStyle name="Normal 55 2 5 2" xfId="9277" xr:uid="{00000000-0005-0000-0000-00001C240000}"/>
    <cellStyle name="Normal 55 2 6" xfId="9278" xr:uid="{00000000-0005-0000-0000-00001D240000}"/>
    <cellStyle name="Normal 55 2 6 2" xfId="9279" xr:uid="{00000000-0005-0000-0000-00001E240000}"/>
    <cellStyle name="Normal 55 2 7" xfId="9280" xr:uid="{00000000-0005-0000-0000-00001F240000}"/>
    <cellStyle name="Normal 55 3" xfId="9281" xr:uid="{00000000-0005-0000-0000-000020240000}"/>
    <cellStyle name="Normal 55 3 2" xfId="9282" xr:uid="{00000000-0005-0000-0000-000021240000}"/>
    <cellStyle name="Normal 55 3 2 2" xfId="9283" xr:uid="{00000000-0005-0000-0000-000022240000}"/>
    <cellStyle name="Normal 55 3 2 2 2" xfId="9284" xr:uid="{00000000-0005-0000-0000-000023240000}"/>
    <cellStyle name="Normal 55 3 2 3" xfId="9285" xr:uid="{00000000-0005-0000-0000-000024240000}"/>
    <cellStyle name="Normal 55 3 2 3 2" xfId="9286" xr:uid="{00000000-0005-0000-0000-000025240000}"/>
    <cellStyle name="Normal 55 3 2 4" xfId="9287" xr:uid="{00000000-0005-0000-0000-000026240000}"/>
    <cellStyle name="Normal 55 3 3" xfId="9288" xr:uid="{00000000-0005-0000-0000-000027240000}"/>
    <cellStyle name="Normal 55 3 3 2" xfId="9289" xr:uid="{00000000-0005-0000-0000-000028240000}"/>
    <cellStyle name="Normal 55 3 3 2 2" xfId="9290" xr:uid="{00000000-0005-0000-0000-000029240000}"/>
    <cellStyle name="Normal 55 3 3 3" xfId="9291" xr:uid="{00000000-0005-0000-0000-00002A240000}"/>
    <cellStyle name="Normal 55 3 4" xfId="9292" xr:uid="{00000000-0005-0000-0000-00002B240000}"/>
    <cellStyle name="Normal 55 3 4 2" xfId="9293" xr:uid="{00000000-0005-0000-0000-00002C240000}"/>
    <cellStyle name="Normal 55 3 5" xfId="9294" xr:uid="{00000000-0005-0000-0000-00002D240000}"/>
    <cellStyle name="Normal 55 3 5 2" xfId="9295" xr:uid="{00000000-0005-0000-0000-00002E240000}"/>
    <cellStyle name="Normal 55 3 6" xfId="9296" xr:uid="{00000000-0005-0000-0000-00002F240000}"/>
    <cellStyle name="Normal 55 4" xfId="9297" xr:uid="{00000000-0005-0000-0000-000030240000}"/>
    <cellStyle name="Normal 55 4 2" xfId="9298" xr:uid="{00000000-0005-0000-0000-000031240000}"/>
    <cellStyle name="Normal 55 4 2 2" xfId="9299" xr:uid="{00000000-0005-0000-0000-000032240000}"/>
    <cellStyle name="Normal 55 4 3" xfId="9300" xr:uid="{00000000-0005-0000-0000-000033240000}"/>
    <cellStyle name="Normal 55 4 3 2" xfId="9301" xr:uid="{00000000-0005-0000-0000-000034240000}"/>
    <cellStyle name="Normal 55 4 4" xfId="9302" xr:uid="{00000000-0005-0000-0000-000035240000}"/>
    <cellStyle name="Normal 55 5" xfId="9303" xr:uid="{00000000-0005-0000-0000-000036240000}"/>
    <cellStyle name="Normal 55 5 2" xfId="9304" xr:uid="{00000000-0005-0000-0000-000037240000}"/>
    <cellStyle name="Normal 55 5 2 2" xfId="9305" xr:uid="{00000000-0005-0000-0000-000038240000}"/>
    <cellStyle name="Normal 55 5 3" xfId="9306" xr:uid="{00000000-0005-0000-0000-000039240000}"/>
    <cellStyle name="Normal 55 6" xfId="9307" xr:uid="{00000000-0005-0000-0000-00003A240000}"/>
    <cellStyle name="Normal 55 6 2" xfId="9308" xr:uid="{00000000-0005-0000-0000-00003B240000}"/>
    <cellStyle name="Normal 55 7" xfId="9309" xr:uid="{00000000-0005-0000-0000-00003C240000}"/>
    <cellStyle name="Normal 55 7 2" xfId="9310" xr:uid="{00000000-0005-0000-0000-00003D240000}"/>
    <cellStyle name="Normal 55 8" xfId="9311" xr:uid="{00000000-0005-0000-0000-00003E240000}"/>
    <cellStyle name="Normal 56" xfId="9312" xr:uid="{00000000-0005-0000-0000-00003F240000}"/>
    <cellStyle name="Normal 56 2" xfId="9313" xr:uid="{00000000-0005-0000-0000-000040240000}"/>
    <cellStyle name="Normal 56 2 2" xfId="9314" xr:uid="{00000000-0005-0000-0000-000041240000}"/>
    <cellStyle name="Normal 56 2 2 2" xfId="9315" xr:uid="{00000000-0005-0000-0000-000042240000}"/>
    <cellStyle name="Normal 56 2 2 2 2" xfId="9316" xr:uid="{00000000-0005-0000-0000-000043240000}"/>
    <cellStyle name="Normal 56 2 2 2 2 2" xfId="9317" xr:uid="{00000000-0005-0000-0000-000044240000}"/>
    <cellStyle name="Normal 56 2 2 2 3" xfId="9318" xr:uid="{00000000-0005-0000-0000-000045240000}"/>
    <cellStyle name="Normal 56 2 2 2 3 2" xfId="9319" xr:uid="{00000000-0005-0000-0000-000046240000}"/>
    <cellStyle name="Normal 56 2 2 2 4" xfId="9320" xr:uid="{00000000-0005-0000-0000-000047240000}"/>
    <cellStyle name="Normal 56 2 2 3" xfId="9321" xr:uid="{00000000-0005-0000-0000-000048240000}"/>
    <cellStyle name="Normal 56 2 2 3 2" xfId="9322" xr:uid="{00000000-0005-0000-0000-000049240000}"/>
    <cellStyle name="Normal 56 2 2 3 2 2" xfId="9323" xr:uid="{00000000-0005-0000-0000-00004A240000}"/>
    <cellStyle name="Normal 56 2 2 3 3" xfId="9324" xr:uid="{00000000-0005-0000-0000-00004B240000}"/>
    <cellStyle name="Normal 56 2 2 4" xfId="9325" xr:uid="{00000000-0005-0000-0000-00004C240000}"/>
    <cellStyle name="Normal 56 2 2 4 2" xfId="9326" xr:uid="{00000000-0005-0000-0000-00004D240000}"/>
    <cellStyle name="Normal 56 2 2 5" xfId="9327" xr:uid="{00000000-0005-0000-0000-00004E240000}"/>
    <cellStyle name="Normal 56 2 2 5 2" xfId="9328" xr:uid="{00000000-0005-0000-0000-00004F240000}"/>
    <cellStyle name="Normal 56 2 2 6" xfId="9329" xr:uid="{00000000-0005-0000-0000-000050240000}"/>
    <cellStyle name="Normal 56 2 3" xfId="9330" xr:uid="{00000000-0005-0000-0000-000051240000}"/>
    <cellStyle name="Normal 56 2 3 2" xfId="9331" xr:uid="{00000000-0005-0000-0000-000052240000}"/>
    <cellStyle name="Normal 56 2 3 2 2" xfId="9332" xr:uid="{00000000-0005-0000-0000-000053240000}"/>
    <cellStyle name="Normal 56 2 3 3" xfId="9333" xr:uid="{00000000-0005-0000-0000-000054240000}"/>
    <cellStyle name="Normal 56 2 3 3 2" xfId="9334" xr:uid="{00000000-0005-0000-0000-000055240000}"/>
    <cellStyle name="Normal 56 2 3 4" xfId="9335" xr:uid="{00000000-0005-0000-0000-000056240000}"/>
    <cellStyle name="Normal 56 2 4" xfId="9336" xr:uid="{00000000-0005-0000-0000-000057240000}"/>
    <cellStyle name="Normal 56 2 4 2" xfId="9337" xr:uid="{00000000-0005-0000-0000-000058240000}"/>
    <cellStyle name="Normal 56 2 4 2 2" xfId="9338" xr:uid="{00000000-0005-0000-0000-000059240000}"/>
    <cellStyle name="Normal 56 2 4 3" xfId="9339" xr:uid="{00000000-0005-0000-0000-00005A240000}"/>
    <cellStyle name="Normal 56 2 5" xfId="9340" xr:uid="{00000000-0005-0000-0000-00005B240000}"/>
    <cellStyle name="Normal 56 2 5 2" xfId="9341" xr:uid="{00000000-0005-0000-0000-00005C240000}"/>
    <cellStyle name="Normal 56 2 6" xfId="9342" xr:uid="{00000000-0005-0000-0000-00005D240000}"/>
    <cellStyle name="Normal 56 2 6 2" xfId="9343" xr:uid="{00000000-0005-0000-0000-00005E240000}"/>
    <cellStyle name="Normal 56 2 7" xfId="9344" xr:uid="{00000000-0005-0000-0000-00005F240000}"/>
    <cellStyle name="Normal 56 3" xfId="9345" xr:uid="{00000000-0005-0000-0000-000060240000}"/>
    <cellStyle name="Normal 56 3 2" xfId="9346" xr:uid="{00000000-0005-0000-0000-000061240000}"/>
    <cellStyle name="Normal 56 3 2 2" xfId="9347" xr:uid="{00000000-0005-0000-0000-000062240000}"/>
    <cellStyle name="Normal 56 3 2 2 2" xfId="9348" xr:uid="{00000000-0005-0000-0000-000063240000}"/>
    <cellStyle name="Normal 56 3 2 3" xfId="9349" xr:uid="{00000000-0005-0000-0000-000064240000}"/>
    <cellStyle name="Normal 56 3 2 3 2" xfId="9350" xr:uid="{00000000-0005-0000-0000-000065240000}"/>
    <cellStyle name="Normal 56 3 2 4" xfId="9351" xr:uid="{00000000-0005-0000-0000-000066240000}"/>
    <cellStyle name="Normal 56 3 3" xfId="9352" xr:uid="{00000000-0005-0000-0000-000067240000}"/>
    <cellStyle name="Normal 56 3 3 2" xfId="9353" xr:uid="{00000000-0005-0000-0000-000068240000}"/>
    <cellStyle name="Normal 56 3 3 2 2" xfId="9354" xr:uid="{00000000-0005-0000-0000-000069240000}"/>
    <cellStyle name="Normal 56 3 3 3" xfId="9355" xr:uid="{00000000-0005-0000-0000-00006A240000}"/>
    <cellStyle name="Normal 56 3 4" xfId="9356" xr:uid="{00000000-0005-0000-0000-00006B240000}"/>
    <cellStyle name="Normal 56 3 4 2" xfId="9357" xr:uid="{00000000-0005-0000-0000-00006C240000}"/>
    <cellStyle name="Normal 56 3 5" xfId="9358" xr:uid="{00000000-0005-0000-0000-00006D240000}"/>
    <cellStyle name="Normal 56 3 5 2" xfId="9359" xr:uid="{00000000-0005-0000-0000-00006E240000}"/>
    <cellStyle name="Normal 56 3 6" xfId="9360" xr:uid="{00000000-0005-0000-0000-00006F240000}"/>
    <cellStyle name="Normal 56 4" xfId="9361" xr:uid="{00000000-0005-0000-0000-000070240000}"/>
    <cellStyle name="Normal 56 4 2" xfId="9362" xr:uid="{00000000-0005-0000-0000-000071240000}"/>
    <cellStyle name="Normal 56 4 2 2" xfId="9363" xr:uid="{00000000-0005-0000-0000-000072240000}"/>
    <cellStyle name="Normal 56 4 3" xfId="9364" xr:uid="{00000000-0005-0000-0000-000073240000}"/>
    <cellStyle name="Normal 56 4 3 2" xfId="9365" xr:uid="{00000000-0005-0000-0000-000074240000}"/>
    <cellStyle name="Normal 56 4 4" xfId="9366" xr:uid="{00000000-0005-0000-0000-000075240000}"/>
    <cellStyle name="Normal 56 5" xfId="9367" xr:uid="{00000000-0005-0000-0000-000076240000}"/>
    <cellStyle name="Normal 56 5 2" xfId="9368" xr:uid="{00000000-0005-0000-0000-000077240000}"/>
    <cellStyle name="Normal 56 5 2 2" xfId="9369" xr:uid="{00000000-0005-0000-0000-000078240000}"/>
    <cellStyle name="Normal 56 5 3" xfId="9370" xr:uid="{00000000-0005-0000-0000-000079240000}"/>
    <cellStyle name="Normal 56 6" xfId="9371" xr:uid="{00000000-0005-0000-0000-00007A240000}"/>
    <cellStyle name="Normal 56 6 2" xfId="9372" xr:uid="{00000000-0005-0000-0000-00007B240000}"/>
    <cellStyle name="Normal 56 7" xfId="9373" xr:uid="{00000000-0005-0000-0000-00007C240000}"/>
    <cellStyle name="Normal 56 7 2" xfId="9374" xr:uid="{00000000-0005-0000-0000-00007D240000}"/>
    <cellStyle name="Normal 56 8" xfId="9375" xr:uid="{00000000-0005-0000-0000-00007E240000}"/>
    <cellStyle name="Normal 57" xfId="9376" xr:uid="{00000000-0005-0000-0000-00007F240000}"/>
    <cellStyle name="Normal 57 2" xfId="9377" xr:uid="{00000000-0005-0000-0000-000080240000}"/>
    <cellStyle name="Normal 57 2 2" xfId="9378" xr:uid="{00000000-0005-0000-0000-000081240000}"/>
    <cellStyle name="Normal 57 2 2 2" xfId="9379" xr:uid="{00000000-0005-0000-0000-000082240000}"/>
    <cellStyle name="Normal 57 2 2 2 2" xfId="9380" xr:uid="{00000000-0005-0000-0000-000083240000}"/>
    <cellStyle name="Normal 57 2 2 2 2 2" xfId="9381" xr:uid="{00000000-0005-0000-0000-000084240000}"/>
    <cellStyle name="Normal 57 2 2 2 3" xfId="9382" xr:uid="{00000000-0005-0000-0000-000085240000}"/>
    <cellStyle name="Normal 57 2 2 2 3 2" xfId="9383" xr:uid="{00000000-0005-0000-0000-000086240000}"/>
    <cellStyle name="Normal 57 2 2 2 4" xfId="9384" xr:uid="{00000000-0005-0000-0000-000087240000}"/>
    <cellStyle name="Normal 57 2 2 3" xfId="9385" xr:uid="{00000000-0005-0000-0000-000088240000}"/>
    <cellStyle name="Normal 57 2 2 3 2" xfId="9386" xr:uid="{00000000-0005-0000-0000-000089240000}"/>
    <cellStyle name="Normal 57 2 2 3 2 2" xfId="9387" xr:uid="{00000000-0005-0000-0000-00008A240000}"/>
    <cellStyle name="Normal 57 2 2 3 3" xfId="9388" xr:uid="{00000000-0005-0000-0000-00008B240000}"/>
    <cellStyle name="Normal 57 2 2 4" xfId="9389" xr:uid="{00000000-0005-0000-0000-00008C240000}"/>
    <cellStyle name="Normal 57 2 2 4 2" xfId="9390" xr:uid="{00000000-0005-0000-0000-00008D240000}"/>
    <cellStyle name="Normal 57 2 2 5" xfId="9391" xr:uid="{00000000-0005-0000-0000-00008E240000}"/>
    <cellStyle name="Normal 57 2 2 5 2" xfId="9392" xr:uid="{00000000-0005-0000-0000-00008F240000}"/>
    <cellStyle name="Normal 57 2 2 6" xfId="9393" xr:uid="{00000000-0005-0000-0000-000090240000}"/>
    <cellStyle name="Normal 57 2 3" xfId="9394" xr:uid="{00000000-0005-0000-0000-000091240000}"/>
    <cellStyle name="Normal 57 2 3 2" xfId="9395" xr:uid="{00000000-0005-0000-0000-000092240000}"/>
    <cellStyle name="Normal 57 2 3 2 2" xfId="9396" xr:uid="{00000000-0005-0000-0000-000093240000}"/>
    <cellStyle name="Normal 57 2 3 3" xfId="9397" xr:uid="{00000000-0005-0000-0000-000094240000}"/>
    <cellStyle name="Normal 57 2 3 3 2" xfId="9398" xr:uid="{00000000-0005-0000-0000-000095240000}"/>
    <cellStyle name="Normal 57 2 3 4" xfId="9399" xr:uid="{00000000-0005-0000-0000-000096240000}"/>
    <cellStyle name="Normal 57 2 4" xfId="9400" xr:uid="{00000000-0005-0000-0000-000097240000}"/>
    <cellStyle name="Normal 57 2 4 2" xfId="9401" xr:uid="{00000000-0005-0000-0000-000098240000}"/>
    <cellStyle name="Normal 57 2 4 2 2" xfId="9402" xr:uid="{00000000-0005-0000-0000-000099240000}"/>
    <cellStyle name="Normal 57 2 4 3" xfId="9403" xr:uid="{00000000-0005-0000-0000-00009A240000}"/>
    <cellStyle name="Normal 57 2 5" xfId="9404" xr:uid="{00000000-0005-0000-0000-00009B240000}"/>
    <cellStyle name="Normal 57 2 5 2" xfId="9405" xr:uid="{00000000-0005-0000-0000-00009C240000}"/>
    <cellStyle name="Normal 57 2 6" xfId="9406" xr:uid="{00000000-0005-0000-0000-00009D240000}"/>
    <cellStyle name="Normal 57 2 6 2" xfId="9407" xr:uid="{00000000-0005-0000-0000-00009E240000}"/>
    <cellStyle name="Normal 57 2 7" xfId="9408" xr:uid="{00000000-0005-0000-0000-00009F240000}"/>
    <cellStyle name="Normal 57 3" xfId="9409" xr:uid="{00000000-0005-0000-0000-0000A0240000}"/>
    <cellStyle name="Normal 57 3 2" xfId="9410" xr:uid="{00000000-0005-0000-0000-0000A1240000}"/>
    <cellStyle name="Normal 57 3 2 2" xfId="9411" xr:uid="{00000000-0005-0000-0000-0000A2240000}"/>
    <cellStyle name="Normal 57 3 2 2 2" xfId="9412" xr:uid="{00000000-0005-0000-0000-0000A3240000}"/>
    <cellStyle name="Normal 57 3 2 3" xfId="9413" xr:uid="{00000000-0005-0000-0000-0000A4240000}"/>
    <cellStyle name="Normal 57 3 2 3 2" xfId="9414" xr:uid="{00000000-0005-0000-0000-0000A5240000}"/>
    <cellStyle name="Normal 57 3 2 4" xfId="9415" xr:uid="{00000000-0005-0000-0000-0000A6240000}"/>
    <cellStyle name="Normal 57 3 3" xfId="9416" xr:uid="{00000000-0005-0000-0000-0000A7240000}"/>
    <cellStyle name="Normal 57 3 3 2" xfId="9417" xr:uid="{00000000-0005-0000-0000-0000A8240000}"/>
    <cellStyle name="Normal 57 3 3 2 2" xfId="9418" xr:uid="{00000000-0005-0000-0000-0000A9240000}"/>
    <cellStyle name="Normal 57 3 3 3" xfId="9419" xr:uid="{00000000-0005-0000-0000-0000AA240000}"/>
    <cellStyle name="Normal 57 3 4" xfId="9420" xr:uid="{00000000-0005-0000-0000-0000AB240000}"/>
    <cellStyle name="Normal 57 3 4 2" xfId="9421" xr:uid="{00000000-0005-0000-0000-0000AC240000}"/>
    <cellStyle name="Normal 57 3 5" xfId="9422" xr:uid="{00000000-0005-0000-0000-0000AD240000}"/>
    <cellStyle name="Normal 57 3 5 2" xfId="9423" xr:uid="{00000000-0005-0000-0000-0000AE240000}"/>
    <cellStyle name="Normal 57 3 6" xfId="9424" xr:uid="{00000000-0005-0000-0000-0000AF240000}"/>
    <cellStyle name="Normal 57 4" xfId="9425" xr:uid="{00000000-0005-0000-0000-0000B0240000}"/>
    <cellStyle name="Normal 57 4 2" xfId="9426" xr:uid="{00000000-0005-0000-0000-0000B1240000}"/>
    <cellStyle name="Normal 57 4 2 2" xfId="9427" xr:uid="{00000000-0005-0000-0000-0000B2240000}"/>
    <cellStyle name="Normal 57 4 3" xfId="9428" xr:uid="{00000000-0005-0000-0000-0000B3240000}"/>
    <cellStyle name="Normal 57 4 3 2" xfId="9429" xr:uid="{00000000-0005-0000-0000-0000B4240000}"/>
    <cellStyle name="Normal 57 4 4" xfId="9430" xr:uid="{00000000-0005-0000-0000-0000B5240000}"/>
    <cellStyle name="Normal 57 5" xfId="9431" xr:uid="{00000000-0005-0000-0000-0000B6240000}"/>
    <cellStyle name="Normal 57 5 2" xfId="9432" xr:uid="{00000000-0005-0000-0000-0000B7240000}"/>
    <cellStyle name="Normal 57 5 2 2" xfId="9433" xr:uid="{00000000-0005-0000-0000-0000B8240000}"/>
    <cellStyle name="Normal 57 5 3" xfId="9434" xr:uid="{00000000-0005-0000-0000-0000B9240000}"/>
    <cellStyle name="Normal 57 6" xfId="9435" xr:uid="{00000000-0005-0000-0000-0000BA240000}"/>
    <cellStyle name="Normal 57 6 2" xfId="9436" xr:uid="{00000000-0005-0000-0000-0000BB240000}"/>
    <cellStyle name="Normal 57 7" xfId="9437" xr:uid="{00000000-0005-0000-0000-0000BC240000}"/>
    <cellStyle name="Normal 57 7 2" xfId="9438" xr:uid="{00000000-0005-0000-0000-0000BD240000}"/>
    <cellStyle name="Normal 57 8" xfId="9439" xr:uid="{00000000-0005-0000-0000-0000BE240000}"/>
    <cellStyle name="Normal 58" xfId="9440" xr:uid="{00000000-0005-0000-0000-0000BF240000}"/>
    <cellStyle name="Normal 58 2" xfId="9441" xr:uid="{00000000-0005-0000-0000-0000C0240000}"/>
    <cellStyle name="Normal 58 2 2" xfId="9442" xr:uid="{00000000-0005-0000-0000-0000C1240000}"/>
    <cellStyle name="Normal 58 2 2 2" xfId="9443" xr:uid="{00000000-0005-0000-0000-0000C2240000}"/>
    <cellStyle name="Normal 58 2 2 2 2" xfId="9444" xr:uid="{00000000-0005-0000-0000-0000C3240000}"/>
    <cellStyle name="Normal 58 2 2 2 2 2" xfId="9445" xr:uid="{00000000-0005-0000-0000-0000C4240000}"/>
    <cellStyle name="Normal 58 2 2 2 3" xfId="9446" xr:uid="{00000000-0005-0000-0000-0000C5240000}"/>
    <cellStyle name="Normal 58 2 2 2 3 2" xfId="9447" xr:uid="{00000000-0005-0000-0000-0000C6240000}"/>
    <cellStyle name="Normal 58 2 2 2 4" xfId="9448" xr:uid="{00000000-0005-0000-0000-0000C7240000}"/>
    <cellStyle name="Normal 58 2 2 3" xfId="9449" xr:uid="{00000000-0005-0000-0000-0000C8240000}"/>
    <cellStyle name="Normal 58 2 2 3 2" xfId="9450" xr:uid="{00000000-0005-0000-0000-0000C9240000}"/>
    <cellStyle name="Normal 58 2 2 3 2 2" xfId="9451" xr:uid="{00000000-0005-0000-0000-0000CA240000}"/>
    <cellStyle name="Normal 58 2 2 3 3" xfId="9452" xr:uid="{00000000-0005-0000-0000-0000CB240000}"/>
    <cellStyle name="Normal 58 2 2 4" xfId="9453" xr:uid="{00000000-0005-0000-0000-0000CC240000}"/>
    <cellStyle name="Normal 58 2 2 4 2" xfId="9454" xr:uid="{00000000-0005-0000-0000-0000CD240000}"/>
    <cellStyle name="Normal 58 2 2 5" xfId="9455" xr:uid="{00000000-0005-0000-0000-0000CE240000}"/>
    <cellStyle name="Normal 58 2 2 5 2" xfId="9456" xr:uid="{00000000-0005-0000-0000-0000CF240000}"/>
    <cellStyle name="Normal 58 2 2 6" xfId="9457" xr:uid="{00000000-0005-0000-0000-0000D0240000}"/>
    <cellStyle name="Normal 58 2 3" xfId="9458" xr:uid="{00000000-0005-0000-0000-0000D1240000}"/>
    <cellStyle name="Normal 58 2 3 2" xfId="9459" xr:uid="{00000000-0005-0000-0000-0000D2240000}"/>
    <cellStyle name="Normal 58 2 3 2 2" xfId="9460" xr:uid="{00000000-0005-0000-0000-0000D3240000}"/>
    <cellStyle name="Normal 58 2 3 3" xfId="9461" xr:uid="{00000000-0005-0000-0000-0000D4240000}"/>
    <cellStyle name="Normal 58 2 3 3 2" xfId="9462" xr:uid="{00000000-0005-0000-0000-0000D5240000}"/>
    <cellStyle name="Normal 58 2 3 4" xfId="9463" xr:uid="{00000000-0005-0000-0000-0000D6240000}"/>
    <cellStyle name="Normal 58 2 4" xfId="9464" xr:uid="{00000000-0005-0000-0000-0000D7240000}"/>
    <cellStyle name="Normal 58 2 4 2" xfId="9465" xr:uid="{00000000-0005-0000-0000-0000D8240000}"/>
    <cellStyle name="Normal 58 2 4 2 2" xfId="9466" xr:uid="{00000000-0005-0000-0000-0000D9240000}"/>
    <cellStyle name="Normal 58 2 4 3" xfId="9467" xr:uid="{00000000-0005-0000-0000-0000DA240000}"/>
    <cellStyle name="Normal 58 2 5" xfId="9468" xr:uid="{00000000-0005-0000-0000-0000DB240000}"/>
    <cellStyle name="Normal 58 2 5 2" xfId="9469" xr:uid="{00000000-0005-0000-0000-0000DC240000}"/>
    <cellStyle name="Normal 58 2 6" xfId="9470" xr:uid="{00000000-0005-0000-0000-0000DD240000}"/>
    <cellStyle name="Normal 58 2 6 2" xfId="9471" xr:uid="{00000000-0005-0000-0000-0000DE240000}"/>
    <cellStyle name="Normal 58 2 7" xfId="9472" xr:uid="{00000000-0005-0000-0000-0000DF240000}"/>
    <cellStyle name="Normal 58 3" xfId="9473" xr:uid="{00000000-0005-0000-0000-0000E0240000}"/>
    <cellStyle name="Normal 58 3 2" xfId="9474" xr:uid="{00000000-0005-0000-0000-0000E1240000}"/>
    <cellStyle name="Normal 58 3 2 2" xfId="9475" xr:uid="{00000000-0005-0000-0000-0000E2240000}"/>
    <cellStyle name="Normal 58 3 2 2 2" xfId="9476" xr:uid="{00000000-0005-0000-0000-0000E3240000}"/>
    <cellStyle name="Normal 58 3 2 3" xfId="9477" xr:uid="{00000000-0005-0000-0000-0000E4240000}"/>
    <cellStyle name="Normal 58 3 2 3 2" xfId="9478" xr:uid="{00000000-0005-0000-0000-0000E5240000}"/>
    <cellStyle name="Normal 58 3 2 4" xfId="9479" xr:uid="{00000000-0005-0000-0000-0000E6240000}"/>
    <cellStyle name="Normal 58 3 3" xfId="9480" xr:uid="{00000000-0005-0000-0000-0000E7240000}"/>
    <cellStyle name="Normal 58 3 3 2" xfId="9481" xr:uid="{00000000-0005-0000-0000-0000E8240000}"/>
    <cellStyle name="Normal 58 3 3 2 2" xfId="9482" xr:uid="{00000000-0005-0000-0000-0000E9240000}"/>
    <cellStyle name="Normal 58 3 3 3" xfId="9483" xr:uid="{00000000-0005-0000-0000-0000EA240000}"/>
    <cellStyle name="Normal 58 3 4" xfId="9484" xr:uid="{00000000-0005-0000-0000-0000EB240000}"/>
    <cellStyle name="Normal 58 3 4 2" xfId="9485" xr:uid="{00000000-0005-0000-0000-0000EC240000}"/>
    <cellStyle name="Normal 58 3 5" xfId="9486" xr:uid="{00000000-0005-0000-0000-0000ED240000}"/>
    <cellStyle name="Normal 58 3 5 2" xfId="9487" xr:uid="{00000000-0005-0000-0000-0000EE240000}"/>
    <cellStyle name="Normal 58 3 6" xfId="9488" xr:uid="{00000000-0005-0000-0000-0000EF240000}"/>
    <cellStyle name="Normal 58 4" xfId="9489" xr:uid="{00000000-0005-0000-0000-0000F0240000}"/>
    <cellStyle name="Normal 58 4 2" xfId="9490" xr:uid="{00000000-0005-0000-0000-0000F1240000}"/>
    <cellStyle name="Normal 58 4 2 2" xfId="9491" xr:uid="{00000000-0005-0000-0000-0000F2240000}"/>
    <cellStyle name="Normal 58 4 3" xfId="9492" xr:uid="{00000000-0005-0000-0000-0000F3240000}"/>
    <cellStyle name="Normal 58 4 3 2" xfId="9493" xr:uid="{00000000-0005-0000-0000-0000F4240000}"/>
    <cellStyle name="Normal 58 4 4" xfId="9494" xr:uid="{00000000-0005-0000-0000-0000F5240000}"/>
    <cellStyle name="Normal 58 5" xfId="9495" xr:uid="{00000000-0005-0000-0000-0000F6240000}"/>
    <cellStyle name="Normal 58 5 2" xfId="9496" xr:uid="{00000000-0005-0000-0000-0000F7240000}"/>
    <cellStyle name="Normal 58 5 2 2" xfId="9497" xr:uid="{00000000-0005-0000-0000-0000F8240000}"/>
    <cellStyle name="Normal 58 5 3" xfId="9498" xr:uid="{00000000-0005-0000-0000-0000F9240000}"/>
    <cellStyle name="Normal 58 6" xfId="9499" xr:uid="{00000000-0005-0000-0000-0000FA240000}"/>
    <cellStyle name="Normal 58 6 2" xfId="9500" xr:uid="{00000000-0005-0000-0000-0000FB240000}"/>
    <cellStyle name="Normal 58 7" xfId="9501" xr:uid="{00000000-0005-0000-0000-0000FC240000}"/>
    <cellStyle name="Normal 58 7 2" xfId="9502" xr:uid="{00000000-0005-0000-0000-0000FD240000}"/>
    <cellStyle name="Normal 58 8" xfId="9503" xr:uid="{00000000-0005-0000-0000-0000FE240000}"/>
    <cellStyle name="Normal 59" xfId="9504" xr:uid="{00000000-0005-0000-0000-0000FF240000}"/>
    <cellStyle name="Normal 59 2" xfId="9505" xr:uid="{00000000-0005-0000-0000-000000250000}"/>
    <cellStyle name="Normal 59 2 2" xfId="9506" xr:uid="{00000000-0005-0000-0000-000001250000}"/>
    <cellStyle name="Normal 59 2 2 2" xfId="9507" xr:uid="{00000000-0005-0000-0000-000002250000}"/>
    <cellStyle name="Normal 59 2 2 2 2" xfId="9508" xr:uid="{00000000-0005-0000-0000-000003250000}"/>
    <cellStyle name="Normal 59 2 2 2 2 2" xfId="9509" xr:uid="{00000000-0005-0000-0000-000004250000}"/>
    <cellStyle name="Normal 59 2 2 2 3" xfId="9510" xr:uid="{00000000-0005-0000-0000-000005250000}"/>
    <cellStyle name="Normal 59 2 2 2 3 2" xfId="9511" xr:uid="{00000000-0005-0000-0000-000006250000}"/>
    <cellStyle name="Normal 59 2 2 2 4" xfId="9512" xr:uid="{00000000-0005-0000-0000-000007250000}"/>
    <cellStyle name="Normal 59 2 2 3" xfId="9513" xr:uid="{00000000-0005-0000-0000-000008250000}"/>
    <cellStyle name="Normal 59 2 2 3 2" xfId="9514" xr:uid="{00000000-0005-0000-0000-000009250000}"/>
    <cellStyle name="Normal 59 2 2 3 2 2" xfId="9515" xr:uid="{00000000-0005-0000-0000-00000A250000}"/>
    <cellStyle name="Normal 59 2 2 3 3" xfId="9516" xr:uid="{00000000-0005-0000-0000-00000B250000}"/>
    <cellStyle name="Normal 59 2 2 4" xfId="9517" xr:uid="{00000000-0005-0000-0000-00000C250000}"/>
    <cellStyle name="Normal 59 2 2 4 2" xfId="9518" xr:uid="{00000000-0005-0000-0000-00000D250000}"/>
    <cellStyle name="Normal 59 2 2 5" xfId="9519" xr:uid="{00000000-0005-0000-0000-00000E250000}"/>
    <cellStyle name="Normal 59 2 2 5 2" xfId="9520" xr:uid="{00000000-0005-0000-0000-00000F250000}"/>
    <cellStyle name="Normal 59 2 2 6" xfId="9521" xr:uid="{00000000-0005-0000-0000-000010250000}"/>
    <cellStyle name="Normal 59 2 3" xfId="9522" xr:uid="{00000000-0005-0000-0000-000011250000}"/>
    <cellStyle name="Normal 59 2 3 2" xfId="9523" xr:uid="{00000000-0005-0000-0000-000012250000}"/>
    <cellStyle name="Normal 59 2 3 2 2" xfId="9524" xr:uid="{00000000-0005-0000-0000-000013250000}"/>
    <cellStyle name="Normal 59 2 3 3" xfId="9525" xr:uid="{00000000-0005-0000-0000-000014250000}"/>
    <cellStyle name="Normal 59 2 3 3 2" xfId="9526" xr:uid="{00000000-0005-0000-0000-000015250000}"/>
    <cellStyle name="Normal 59 2 3 4" xfId="9527" xr:uid="{00000000-0005-0000-0000-000016250000}"/>
    <cellStyle name="Normal 59 2 4" xfId="9528" xr:uid="{00000000-0005-0000-0000-000017250000}"/>
    <cellStyle name="Normal 59 2 4 2" xfId="9529" xr:uid="{00000000-0005-0000-0000-000018250000}"/>
    <cellStyle name="Normal 59 2 4 2 2" xfId="9530" xr:uid="{00000000-0005-0000-0000-000019250000}"/>
    <cellStyle name="Normal 59 2 4 3" xfId="9531" xr:uid="{00000000-0005-0000-0000-00001A250000}"/>
    <cellStyle name="Normal 59 2 5" xfId="9532" xr:uid="{00000000-0005-0000-0000-00001B250000}"/>
    <cellStyle name="Normal 59 2 5 2" xfId="9533" xr:uid="{00000000-0005-0000-0000-00001C250000}"/>
    <cellStyle name="Normal 59 2 6" xfId="9534" xr:uid="{00000000-0005-0000-0000-00001D250000}"/>
    <cellStyle name="Normal 59 2 6 2" xfId="9535" xr:uid="{00000000-0005-0000-0000-00001E250000}"/>
    <cellStyle name="Normal 59 2 7" xfId="9536" xr:uid="{00000000-0005-0000-0000-00001F250000}"/>
    <cellStyle name="Normal 59 3" xfId="9537" xr:uid="{00000000-0005-0000-0000-000020250000}"/>
    <cellStyle name="Normal 59 3 2" xfId="9538" xr:uid="{00000000-0005-0000-0000-000021250000}"/>
    <cellStyle name="Normal 59 3 2 2" xfId="9539" xr:uid="{00000000-0005-0000-0000-000022250000}"/>
    <cellStyle name="Normal 59 3 2 2 2" xfId="9540" xr:uid="{00000000-0005-0000-0000-000023250000}"/>
    <cellStyle name="Normal 59 3 2 3" xfId="9541" xr:uid="{00000000-0005-0000-0000-000024250000}"/>
    <cellStyle name="Normal 59 3 2 3 2" xfId="9542" xr:uid="{00000000-0005-0000-0000-000025250000}"/>
    <cellStyle name="Normal 59 3 2 4" xfId="9543" xr:uid="{00000000-0005-0000-0000-000026250000}"/>
    <cellStyle name="Normal 59 3 3" xfId="9544" xr:uid="{00000000-0005-0000-0000-000027250000}"/>
    <cellStyle name="Normal 59 3 3 2" xfId="9545" xr:uid="{00000000-0005-0000-0000-000028250000}"/>
    <cellStyle name="Normal 59 3 3 2 2" xfId="9546" xr:uid="{00000000-0005-0000-0000-000029250000}"/>
    <cellStyle name="Normal 59 3 3 3" xfId="9547" xr:uid="{00000000-0005-0000-0000-00002A250000}"/>
    <cellStyle name="Normal 59 3 4" xfId="9548" xr:uid="{00000000-0005-0000-0000-00002B250000}"/>
    <cellStyle name="Normal 59 3 4 2" xfId="9549" xr:uid="{00000000-0005-0000-0000-00002C250000}"/>
    <cellStyle name="Normal 59 3 5" xfId="9550" xr:uid="{00000000-0005-0000-0000-00002D250000}"/>
    <cellStyle name="Normal 59 3 5 2" xfId="9551" xr:uid="{00000000-0005-0000-0000-00002E250000}"/>
    <cellStyle name="Normal 59 3 6" xfId="9552" xr:uid="{00000000-0005-0000-0000-00002F250000}"/>
    <cellStyle name="Normal 59 4" xfId="9553" xr:uid="{00000000-0005-0000-0000-000030250000}"/>
    <cellStyle name="Normal 59 4 2" xfId="9554" xr:uid="{00000000-0005-0000-0000-000031250000}"/>
    <cellStyle name="Normal 59 4 2 2" xfId="9555" xr:uid="{00000000-0005-0000-0000-000032250000}"/>
    <cellStyle name="Normal 59 4 3" xfId="9556" xr:uid="{00000000-0005-0000-0000-000033250000}"/>
    <cellStyle name="Normal 59 4 3 2" xfId="9557" xr:uid="{00000000-0005-0000-0000-000034250000}"/>
    <cellStyle name="Normal 59 4 4" xfId="9558" xr:uid="{00000000-0005-0000-0000-000035250000}"/>
    <cellStyle name="Normal 59 5" xfId="9559" xr:uid="{00000000-0005-0000-0000-000036250000}"/>
    <cellStyle name="Normal 59 5 2" xfId="9560" xr:uid="{00000000-0005-0000-0000-000037250000}"/>
    <cellStyle name="Normal 59 5 2 2" xfId="9561" xr:uid="{00000000-0005-0000-0000-000038250000}"/>
    <cellStyle name="Normal 59 5 3" xfId="9562" xr:uid="{00000000-0005-0000-0000-000039250000}"/>
    <cellStyle name="Normal 59 6" xfId="9563" xr:uid="{00000000-0005-0000-0000-00003A250000}"/>
    <cellStyle name="Normal 59 6 2" xfId="9564" xr:uid="{00000000-0005-0000-0000-00003B250000}"/>
    <cellStyle name="Normal 59 7" xfId="9565" xr:uid="{00000000-0005-0000-0000-00003C250000}"/>
    <cellStyle name="Normal 59 7 2" xfId="9566" xr:uid="{00000000-0005-0000-0000-00003D250000}"/>
    <cellStyle name="Normal 59 8" xfId="9567" xr:uid="{00000000-0005-0000-0000-00003E250000}"/>
    <cellStyle name="Normal 6" xfId="205" xr:uid="{00000000-0005-0000-0000-00003F250000}"/>
    <cellStyle name="Normal 6 2" xfId="9568" xr:uid="{00000000-0005-0000-0000-000040250000}"/>
    <cellStyle name="Normal 6 2 2" xfId="9569" xr:uid="{00000000-0005-0000-0000-000041250000}"/>
    <cellStyle name="Normal 6 2 2 2" xfId="9570" xr:uid="{00000000-0005-0000-0000-000042250000}"/>
    <cellStyle name="Normal 6 2 2 2 2" xfId="9571" xr:uid="{00000000-0005-0000-0000-000043250000}"/>
    <cellStyle name="Normal 6 2 2 2 2 2" xfId="9572" xr:uid="{00000000-0005-0000-0000-000044250000}"/>
    <cellStyle name="Normal 6 2 2 2 3" xfId="9573" xr:uid="{00000000-0005-0000-0000-000045250000}"/>
    <cellStyle name="Normal 6 2 2 3" xfId="9574" xr:uid="{00000000-0005-0000-0000-000046250000}"/>
    <cellStyle name="Normal 6 2 3" xfId="9575" xr:uid="{00000000-0005-0000-0000-000047250000}"/>
    <cellStyle name="Normal 6 2 3 2" xfId="9576" xr:uid="{00000000-0005-0000-0000-000048250000}"/>
    <cellStyle name="Normal 6 2 3 2 2" xfId="9577" xr:uid="{00000000-0005-0000-0000-000049250000}"/>
    <cellStyle name="Normal 6 2 3 2 2 2" xfId="9578" xr:uid="{00000000-0005-0000-0000-00004A250000}"/>
    <cellStyle name="Normal 6 2 3 2 3" xfId="9579" xr:uid="{00000000-0005-0000-0000-00004B250000}"/>
    <cellStyle name="Normal 6 2 3 2 3 2" xfId="9580" xr:uid="{00000000-0005-0000-0000-00004C250000}"/>
    <cellStyle name="Normal 6 2 3 2 4" xfId="9581" xr:uid="{00000000-0005-0000-0000-00004D250000}"/>
    <cellStyle name="Normal 6 2 3 3" xfId="9582" xr:uid="{00000000-0005-0000-0000-00004E250000}"/>
    <cellStyle name="Normal 6 2 3 3 2" xfId="9583" xr:uid="{00000000-0005-0000-0000-00004F250000}"/>
    <cellStyle name="Normal 6 2 3 3 2 2" xfId="9584" xr:uid="{00000000-0005-0000-0000-000050250000}"/>
    <cellStyle name="Normal 6 2 3 3 3" xfId="9585" xr:uid="{00000000-0005-0000-0000-000051250000}"/>
    <cellStyle name="Normal 6 2 3 4" xfId="9586" xr:uid="{00000000-0005-0000-0000-000052250000}"/>
    <cellStyle name="Normal 6 2 3 4 2" xfId="9587" xr:uid="{00000000-0005-0000-0000-000053250000}"/>
    <cellStyle name="Normal 6 2 3 5" xfId="9588" xr:uid="{00000000-0005-0000-0000-000054250000}"/>
    <cellStyle name="Normal 6 2 3 5 2" xfId="9589" xr:uid="{00000000-0005-0000-0000-000055250000}"/>
    <cellStyle name="Normal 6 2 3 6" xfId="9590" xr:uid="{00000000-0005-0000-0000-000056250000}"/>
    <cellStyle name="Normal 6 2 4" xfId="9591" xr:uid="{00000000-0005-0000-0000-000057250000}"/>
    <cellStyle name="Normal 6 2 4 2" xfId="9592" xr:uid="{00000000-0005-0000-0000-000058250000}"/>
    <cellStyle name="Normal 6 2 4 2 2" xfId="9593" xr:uid="{00000000-0005-0000-0000-000059250000}"/>
    <cellStyle name="Normal 6 2 4 3" xfId="9594" xr:uid="{00000000-0005-0000-0000-00005A250000}"/>
    <cellStyle name="Normal 6 2 4 3 2" xfId="9595" xr:uid="{00000000-0005-0000-0000-00005B250000}"/>
    <cellStyle name="Normal 6 2 4 4" xfId="9596" xr:uid="{00000000-0005-0000-0000-00005C250000}"/>
    <cellStyle name="Normal 6 2 5" xfId="9597" xr:uid="{00000000-0005-0000-0000-00005D250000}"/>
    <cellStyle name="Normal 6 2 5 2" xfId="9598" xr:uid="{00000000-0005-0000-0000-00005E250000}"/>
    <cellStyle name="Normal 6 2 5 2 2" xfId="9599" xr:uid="{00000000-0005-0000-0000-00005F250000}"/>
    <cellStyle name="Normal 6 2 5 3" xfId="9600" xr:uid="{00000000-0005-0000-0000-000060250000}"/>
    <cellStyle name="Normal 6 2 6" xfId="9601" xr:uid="{00000000-0005-0000-0000-000061250000}"/>
    <cellStyle name="Normal 6 2 6 2" xfId="9602" xr:uid="{00000000-0005-0000-0000-000062250000}"/>
    <cellStyle name="Normal 6 2 7" xfId="9603" xr:uid="{00000000-0005-0000-0000-000063250000}"/>
    <cellStyle name="Normal 6 2 7 2" xfId="9604" xr:uid="{00000000-0005-0000-0000-000064250000}"/>
    <cellStyle name="Normal 6 2 8" xfId="9605" xr:uid="{00000000-0005-0000-0000-000065250000}"/>
    <cellStyle name="Normal 6 3" xfId="9606" xr:uid="{00000000-0005-0000-0000-000066250000}"/>
    <cellStyle name="Normal 6 3 2" xfId="9607" xr:uid="{00000000-0005-0000-0000-000067250000}"/>
    <cellStyle name="Normal 6 3 2 2" xfId="9608" xr:uid="{00000000-0005-0000-0000-000068250000}"/>
    <cellStyle name="Normal 6 3 2 2 2" xfId="9609" xr:uid="{00000000-0005-0000-0000-000069250000}"/>
    <cellStyle name="Normal 6 3 2 3" xfId="9610" xr:uid="{00000000-0005-0000-0000-00006A250000}"/>
    <cellStyle name="Normal 6 3 3" xfId="9611" xr:uid="{00000000-0005-0000-0000-00006B250000}"/>
    <cellStyle name="Normal 6 4" xfId="9612" xr:uid="{00000000-0005-0000-0000-00006C250000}"/>
    <cellStyle name="Normal 6 4 2" xfId="9613" xr:uid="{00000000-0005-0000-0000-00006D250000}"/>
    <cellStyle name="Normal 6 4 2 2" xfId="9614" xr:uid="{00000000-0005-0000-0000-00006E250000}"/>
    <cellStyle name="Normal 6 4 2 2 2" xfId="9615" xr:uid="{00000000-0005-0000-0000-00006F250000}"/>
    <cellStyle name="Normal 6 4 2 3" xfId="9616" xr:uid="{00000000-0005-0000-0000-000070250000}"/>
    <cellStyle name="Normal 6 4 2 3 2" xfId="9617" xr:uid="{00000000-0005-0000-0000-000071250000}"/>
    <cellStyle name="Normal 6 4 2 4" xfId="9618" xr:uid="{00000000-0005-0000-0000-000072250000}"/>
    <cellStyle name="Normal 6 4 3" xfId="9619" xr:uid="{00000000-0005-0000-0000-000073250000}"/>
    <cellStyle name="Normal 6 4 3 2" xfId="9620" xr:uid="{00000000-0005-0000-0000-000074250000}"/>
    <cellStyle name="Normal 6 4 3 2 2" xfId="9621" xr:uid="{00000000-0005-0000-0000-000075250000}"/>
    <cellStyle name="Normal 6 4 3 3" xfId="9622" xr:uid="{00000000-0005-0000-0000-000076250000}"/>
    <cellStyle name="Normal 6 4 4" xfId="9623" xr:uid="{00000000-0005-0000-0000-000077250000}"/>
    <cellStyle name="Normal 6 4 4 2" xfId="9624" xr:uid="{00000000-0005-0000-0000-000078250000}"/>
    <cellStyle name="Normal 6 4 5" xfId="9625" xr:uid="{00000000-0005-0000-0000-000079250000}"/>
    <cellStyle name="Normal 6 4 5 2" xfId="9626" xr:uid="{00000000-0005-0000-0000-00007A250000}"/>
    <cellStyle name="Normal 6 4 6" xfId="9627" xr:uid="{00000000-0005-0000-0000-00007B250000}"/>
    <cellStyle name="Normal 6 5" xfId="9628" xr:uid="{00000000-0005-0000-0000-00007C250000}"/>
    <cellStyle name="Normal 6 5 2" xfId="9629" xr:uid="{00000000-0005-0000-0000-00007D250000}"/>
    <cellStyle name="Normal 6 5 2 2" xfId="9630" xr:uid="{00000000-0005-0000-0000-00007E250000}"/>
    <cellStyle name="Normal 6 5 3" xfId="9631" xr:uid="{00000000-0005-0000-0000-00007F250000}"/>
    <cellStyle name="Normal 6 5 3 2" xfId="9632" xr:uid="{00000000-0005-0000-0000-000080250000}"/>
    <cellStyle name="Normal 6 5 4" xfId="9633" xr:uid="{00000000-0005-0000-0000-000081250000}"/>
    <cellStyle name="Normal 6 6" xfId="9634" xr:uid="{00000000-0005-0000-0000-000082250000}"/>
    <cellStyle name="Normal 6 6 2" xfId="9635" xr:uid="{00000000-0005-0000-0000-000083250000}"/>
    <cellStyle name="Normal 6 6 2 2" xfId="9636" xr:uid="{00000000-0005-0000-0000-000084250000}"/>
    <cellStyle name="Normal 6 6 3" xfId="9637" xr:uid="{00000000-0005-0000-0000-000085250000}"/>
    <cellStyle name="Normal 6 7" xfId="9638" xr:uid="{00000000-0005-0000-0000-000086250000}"/>
    <cellStyle name="Normal 6 7 2" xfId="9639" xr:uid="{00000000-0005-0000-0000-000087250000}"/>
    <cellStyle name="Normal 6 8" xfId="9640" xr:uid="{00000000-0005-0000-0000-000088250000}"/>
    <cellStyle name="Normal 6 8 2" xfId="9641" xr:uid="{00000000-0005-0000-0000-000089250000}"/>
    <cellStyle name="Normal 6 9" xfId="9642" xr:uid="{00000000-0005-0000-0000-00008A250000}"/>
    <cellStyle name="Normal 60" xfId="9643" xr:uid="{00000000-0005-0000-0000-00008B250000}"/>
    <cellStyle name="Normal 60 2" xfId="9644" xr:uid="{00000000-0005-0000-0000-00008C250000}"/>
    <cellStyle name="Normal 60 2 2" xfId="9645" xr:uid="{00000000-0005-0000-0000-00008D250000}"/>
    <cellStyle name="Normal 60 2 2 2" xfId="9646" xr:uid="{00000000-0005-0000-0000-00008E250000}"/>
    <cellStyle name="Normal 60 2 2 2 2" xfId="9647" xr:uid="{00000000-0005-0000-0000-00008F250000}"/>
    <cellStyle name="Normal 60 2 2 2 2 2" xfId="9648" xr:uid="{00000000-0005-0000-0000-000090250000}"/>
    <cellStyle name="Normal 60 2 2 2 3" xfId="9649" xr:uid="{00000000-0005-0000-0000-000091250000}"/>
    <cellStyle name="Normal 60 2 2 2 3 2" xfId="9650" xr:uid="{00000000-0005-0000-0000-000092250000}"/>
    <cellStyle name="Normal 60 2 2 2 4" xfId="9651" xr:uid="{00000000-0005-0000-0000-000093250000}"/>
    <cellStyle name="Normal 60 2 2 3" xfId="9652" xr:uid="{00000000-0005-0000-0000-000094250000}"/>
    <cellStyle name="Normal 60 2 2 3 2" xfId="9653" xr:uid="{00000000-0005-0000-0000-000095250000}"/>
    <cellStyle name="Normal 60 2 2 3 2 2" xfId="9654" xr:uid="{00000000-0005-0000-0000-000096250000}"/>
    <cellStyle name="Normal 60 2 2 3 3" xfId="9655" xr:uid="{00000000-0005-0000-0000-000097250000}"/>
    <cellStyle name="Normal 60 2 2 4" xfId="9656" xr:uid="{00000000-0005-0000-0000-000098250000}"/>
    <cellStyle name="Normal 60 2 2 4 2" xfId="9657" xr:uid="{00000000-0005-0000-0000-000099250000}"/>
    <cellStyle name="Normal 60 2 2 5" xfId="9658" xr:uid="{00000000-0005-0000-0000-00009A250000}"/>
    <cellStyle name="Normal 60 2 2 5 2" xfId="9659" xr:uid="{00000000-0005-0000-0000-00009B250000}"/>
    <cellStyle name="Normal 60 2 2 6" xfId="9660" xr:uid="{00000000-0005-0000-0000-00009C250000}"/>
    <cellStyle name="Normal 60 2 3" xfId="9661" xr:uid="{00000000-0005-0000-0000-00009D250000}"/>
    <cellStyle name="Normal 60 2 3 2" xfId="9662" xr:uid="{00000000-0005-0000-0000-00009E250000}"/>
    <cellStyle name="Normal 60 2 3 2 2" xfId="9663" xr:uid="{00000000-0005-0000-0000-00009F250000}"/>
    <cellStyle name="Normal 60 2 3 3" xfId="9664" xr:uid="{00000000-0005-0000-0000-0000A0250000}"/>
    <cellStyle name="Normal 60 2 3 3 2" xfId="9665" xr:uid="{00000000-0005-0000-0000-0000A1250000}"/>
    <cellStyle name="Normal 60 2 3 4" xfId="9666" xr:uid="{00000000-0005-0000-0000-0000A2250000}"/>
    <cellStyle name="Normal 60 2 4" xfId="9667" xr:uid="{00000000-0005-0000-0000-0000A3250000}"/>
    <cellStyle name="Normal 60 2 4 2" xfId="9668" xr:uid="{00000000-0005-0000-0000-0000A4250000}"/>
    <cellStyle name="Normal 60 2 4 2 2" xfId="9669" xr:uid="{00000000-0005-0000-0000-0000A5250000}"/>
    <cellStyle name="Normal 60 2 4 3" xfId="9670" xr:uid="{00000000-0005-0000-0000-0000A6250000}"/>
    <cellStyle name="Normal 60 2 5" xfId="9671" xr:uid="{00000000-0005-0000-0000-0000A7250000}"/>
    <cellStyle name="Normal 60 2 5 2" xfId="9672" xr:uid="{00000000-0005-0000-0000-0000A8250000}"/>
    <cellStyle name="Normal 60 2 6" xfId="9673" xr:uid="{00000000-0005-0000-0000-0000A9250000}"/>
    <cellStyle name="Normal 60 2 6 2" xfId="9674" xr:uid="{00000000-0005-0000-0000-0000AA250000}"/>
    <cellStyle name="Normal 60 2 7" xfId="9675" xr:uid="{00000000-0005-0000-0000-0000AB250000}"/>
    <cellStyle name="Normal 60 3" xfId="9676" xr:uid="{00000000-0005-0000-0000-0000AC250000}"/>
    <cellStyle name="Normal 60 3 2" xfId="9677" xr:uid="{00000000-0005-0000-0000-0000AD250000}"/>
    <cellStyle name="Normal 60 3 2 2" xfId="9678" xr:uid="{00000000-0005-0000-0000-0000AE250000}"/>
    <cellStyle name="Normal 60 3 2 2 2" xfId="9679" xr:uid="{00000000-0005-0000-0000-0000AF250000}"/>
    <cellStyle name="Normal 60 3 2 3" xfId="9680" xr:uid="{00000000-0005-0000-0000-0000B0250000}"/>
    <cellStyle name="Normal 60 3 2 3 2" xfId="9681" xr:uid="{00000000-0005-0000-0000-0000B1250000}"/>
    <cellStyle name="Normal 60 3 2 4" xfId="9682" xr:uid="{00000000-0005-0000-0000-0000B2250000}"/>
    <cellStyle name="Normal 60 3 3" xfId="9683" xr:uid="{00000000-0005-0000-0000-0000B3250000}"/>
    <cellStyle name="Normal 60 3 3 2" xfId="9684" xr:uid="{00000000-0005-0000-0000-0000B4250000}"/>
    <cellStyle name="Normal 60 3 3 2 2" xfId="9685" xr:uid="{00000000-0005-0000-0000-0000B5250000}"/>
    <cellStyle name="Normal 60 3 3 3" xfId="9686" xr:uid="{00000000-0005-0000-0000-0000B6250000}"/>
    <cellStyle name="Normal 60 3 4" xfId="9687" xr:uid="{00000000-0005-0000-0000-0000B7250000}"/>
    <cellStyle name="Normal 60 3 4 2" xfId="9688" xr:uid="{00000000-0005-0000-0000-0000B8250000}"/>
    <cellStyle name="Normal 60 3 5" xfId="9689" xr:uid="{00000000-0005-0000-0000-0000B9250000}"/>
    <cellStyle name="Normal 60 3 5 2" xfId="9690" xr:uid="{00000000-0005-0000-0000-0000BA250000}"/>
    <cellStyle name="Normal 60 3 6" xfId="9691" xr:uid="{00000000-0005-0000-0000-0000BB250000}"/>
    <cellStyle name="Normal 60 4" xfId="9692" xr:uid="{00000000-0005-0000-0000-0000BC250000}"/>
    <cellStyle name="Normal 60 4 2" xfId="9693" xr:uid="{00000000-0005-0000-0000-0000BD250000}"/>
    <cellStyle name="Normal 60 4 2 2" xfId="9694" xr:uid="{00000000-0005-0000-0000-0000BE250000}"/>
    <cellStyle name="Normal 60 4 3" xfId="9695" xr:uid="{00000000-0005-0000-0000-0000BF250000}"/>
    <cellStyle name="Normal 60 4 3 2" xfId="9696" xr:uid="{00000000-0005-0000-0000-0000C0250000}"/>
    <cellStyle name="Normal 60 4 4" xfId="9697" xr:uid="{00000000-0005-0000-0000-0000C1250000}"/>
    <cellStyle name="Normal 60 5" xfId="9698" xr:uid="{00000000-0005-0000-0000-0000C2250000}"/>
    <cellStyle name="Normal 60 5 2" xfId="9699" xr:uid="{00000000-0005-0000-0000-0000C3250000}"/>
    <cellStyle name="Normal 60 5 2 2" xfId="9700" xr:uid="{00000000-0005-0000-0000-0000C4250000}"/>
    <cellStyle name="Normal 60 5 3" xfId="9701" xr:uid="{00000000-0005-0000-0000-0000C5250000}"/>
    <cellStyle name="Normal 60 6" xfId="9702" xr:uid="{00000000-0005-0000-0000-0000C6250000}"/>
    <cellStyle name="Normal 60 6 2" xfId="9703" xr:uid="{00000000-0005-0000-0000-0000C7250000}"/>
    <cellStyle name="Normal 60 7" xfId="9704" xr:uid="{00000000-0005-0000-0000-0000C8250000}"/>
    <cellStyle name="Normal 60 7 2" xfId="9705" xr:uid="{00000000-0005-0000-0000-0000C9250000}"/>
    <cellStyle name="Normal 60 8" xfId="9706" xr:uid="{00000000-0005-0000-0000-0000CA250000}"/>
    <cellStyle name="Normal 61" xfId="9707" xr:uid="{00000000-0005-0000-0000-0000CB250000}"/>
    <cellStyle name="Normal 61 2" xfId="9708" xr:uid="{00000000-0005-0000-0000-0000CC250000}"/>
    <cellStyle name="Normal 61 2 2" xfId="9709" xr:uid="{00000000-0005-0000-0000-0000CD250000}"/>
    <cellStyle name="Normal 61 2 2 2" xfId="9710" xr:uid="{00000000-0005-0000-0000-0000CE250000}"/>
    <cellStyle name="Normal 61 2 2 2 2" xfId="9711" xr:uid="{00000000-0005-0000-0000-0000CF250000}"/>
    <cellStyle name="Normal 61 2 2 2 2 2" xfId="9712" xr:uid="{00000000-0005-0000-0000-0000D0250000}"/>
    <cellStyle name="Normal 61 2 2 2 3" xfId="9713" xr:uid="{00000000-0005-0000-0000-0000D1250000}"/>
    <cellStyle name="Normal 61 2 2 2 3 2" xfId="9714" xr:uid="{00000000-0005-0000-0000-0000D2250000}"/>
    <cellStyle name="Normal 61 2 2 2 4" xfId="9715" xr:uid="{00000000-0005-0000-0000-0000D3250000}"/>
    <cellStyle name="Normal 61 2 2 3" xfId="9716" xr:uid="{00000000-0005-0000-0000-0000D4250000}"/>
    <cellStyle name="Normal 61 2 2 3 2" xfId="9717" xr:uid="{00000000-0005-0000-0000-0000D5250000}"/>
    <cellStyle name="Normal 61 2 2 3 2 2" xfId="9718" xr:uid="{00000000-0005-0000-0000-0000D6250000}"/>
    <cellStyle name="Normal 61 2 2 3 3" xfId="9719" xr:uid="{00000000-0005-0000-0000-0000D7250000}"/>
    <cellStyle name="Normal 61 2 2 4" xfId="9720" xr:uid="{00000000-0005-0000-0000-0000D8250000}"/>
    <cellStyle name="Normal 61 2 2 4 2" xfId="9721" xr:uid="{00000000-0005-0000-0000-0000D9250000}"/>
    <cellStyle name="Normal 61 2 2 5" xfId="9722" xr:uid="{00000000-0005-0000-0000-0000DA250000}"/>
    <cellStyle name="Normal 61 2 2 5 2" xfId="9723" xr:uid="{00000000-0005-0000-0000-0000DB250000}"/>
    <cellStyle name="Normal 61 2 2 6" xfId="9724" xr:uid="{00000000-0005-0000-0000-0000DC250000}"/>
    <cellStyle name="Normal 61 2 3" xfId="9725" xr:uid="{00000000-0005-0000-0000-0000DD250000}"/>
    <cellStyle name="Normal 61 2 3 2" xfId="9726" xr:uid="{00000000-0005-0000-0000-0000DE250000}"/>
    <cellStyle name="Normal 61 2 3 2 2" xfId="9727" xr:uid="{00000000-0005-0000-0000-0000DF250000}"/>
    <cellStyle name="Normal 61 2 3 3" xfId="9728" xr:uid="{00000000-0005-0000-0000-0000E0250000}"/>
    <cellStyle name="Normal 61 2 3 3 2" xfId="9729" xr:uid="{00000000-0005-0000-0000-0000E1250000}"/>
    <cellStyle name="Normal 61 2 3 4" xfId="9730" xr:uid="{00000000-0005-0000-0000-0000E2250000}"/>
    <cellStyle name="Normal 61 2 4" xfId="9731" xr:uid="{00000000-0005-0000-0000-0000E3250000}"/>
    <cellStyle name="Normal 61 2 4 2" xfId="9732" xr:uid="{00000000-0005-0000-0000-0000E4250000}"/>
    <cellStyle name="Normal 61 2 4 2 2" xfId="9733" xr:uid="{00000000-0005-0000-0000-0000E5250000}"/>
    <cellStyle name="Normal 61 2 4 3" xfId="9734" xr:uid="{00000000-0005-0000-0000-0000E6250000}"/>
    <cellStyle name="Normal 61 2 5" xfId="9735" xr:uid="{00000000-0005-0000-0000-0000E7250000}"/>
    <cellStyle name="Normal 61 2 5 2" xfId="9736" xr:uid="{00000000-0005-0000-0000-0000E8250000}"/>
    <cellStyle name="Normal 61 2 6" xfId="9737" xr:uid="{00000000-0005-0000-0000-0000E9250000}"/>
    <cellStyle name="Normal 61 2 6 2" xfId="9738" xr:uid="{00000000-0005-0000-0000-0000EA250000}"/>
    <cellStyle name="Normal 61 2 7" xfId="9739" xr:uid="{00000000-0005-0000-0000-0000EB250000}"/>
    <cellStyle name="Normal 61 3" xfId="9740" xr:uid="{00000000-0005-0000-0000-0000EC250000}"/>
    <cellStyle name="Normal 61 3 2" xfId="9741" xr:uid="{00000000-0005-0000-0000-0000ED250000}"/>
    <cellStyle name="Normal 61 3 2 2" xfId="9742" xr:uid="{00000000-0005-0000-0000-0000EE250000}"/>
    <cellStyle name="Normal 61 3 2 2 2" xfId="9743" xr:uid="{00000000-0005-0000-0000-0000EF250000}"/>
    <cellStyle name="Normal 61 3 2 3" xfId="9744" xr:uid="{00000000-0005-0000-0000-0000F0250000}"/>
    <cellStyle name="Normal 61 3 2 3 2" xfId="9745" xr:uid="{00000000-0005-0000-0000-0000F1250000}"/>
    <cellStyle name="Normal 61 3 2 4" xfId="9746" xr:uid="{00000000-0005-0000-0000-0000F2250000}"/>
    <cellStyle name="Normal 61 3 3" xfId="9747" xr:uid="{00000000-0005-0000-0000-0000F3250000}"/>
    <cellStyle name="Normal 61 3 3 2" xfId="9748" xr:uid="{00000000-0005-0000-0000-0000F4250000}"/>
    <cellStyle name="Normal 61 3 3 2 2" xfId="9749" xr:uid="{00000000-0005-0000-0000-0000F5250000}"/>
    <cellStyle name="Normal 61 3 3 3" xfId="9750" xr:uid="{00000000-0005-0000-0000-0000F6250000}"/>
    <cellStyle name="Normal 61 3 4" xfId="9751" xr:uid="{00000000-0005-0000-0000-0000F7250000}"/>
    <cellStyle name="Normal 61 3 4 2" xfId="9752" xr:uid="{00000000-0005-0000-0000-0000F8250000}"/>
    <cellStyle name="Normal 61 3 5" xfId="9753" xr:uid="{00000000-0005-0000-0000-0000F9250000}"/>
    <cellStyle name="Normal 61 3 5 2" xfId="9754" xr:uid="{00000000-0005-0000-0000-0000FA250000}"/>
    <cellStyle name="Normal 61 3 6" xfId="9755" xr:uid="{00000000-0005-0000-0000-0000FB250000}"/>
    <cellStyle name="Normal 61 4" xfId="9756" xr:uid="{00000000-0005-0000-0000-0000FC250000}"/>
    <cellStyle name="Normal 61 4 2" xfId="9757" xr:uid="{00000000-0005-0000-0000-0000FD250000}"/>
    <cellStyle name="Normal 61 4 2 2" xfId="9758" xr:uid="{00000000-0005-0000-0000-0000FE250000}"/>
    <cellStyle name="Normal 61 4 3" xfId="9759" xr:uid="{00000000-0005-0000-0000-0000FF250000}"/>
    <cellStyle name="Normal 61 4 3 2" xfId="9760" xr:uid="{00000000-0005-0000-0000-000000260000}"/>
    <cellStyle name="Normal 61 4 4" xfId="9761" xr:uid="{00000000-0005-0000-0000-000001260000}"/>
    <cellStyle name="Normal 61 5" xfId="9762" xr:uid="{00000000-0005-0000-0000-000002260000}"/>
    <cellStyle name="Normal 61 5 2" xfId="9763" xr:uid="{00000000-0005-0000-0000-000003260000}"/>
    <cellStyle name="Normal 61 5 2 2" xfId="9764" xr:uid="{00000000-0005-0000-0000-000004260000}"/>
    <cellStyle name="Normal 61 5 3" xfId="9765" xr:uid="{00000000-0005-0000-0000-000005260000}"/>
    <cellStyle name="Normal 61 6" xfId="9766" xr:uid="{00000000-0005-0000-0000-000006260000}"/>
    <cellStyle name="Normal 61 6 2" xfId="9767" xr:uid="{00000000-0005-0000-0000-000007260000}"/>
    <cellStyle name="Normal 61 7" xfId="9768" xr:uid="{00000000-0005-0000-0000-000008260000}"/>
    <cellStyle name="Normal 61 7 2" xfId="9769" xr:uid="{00000000-0005-0000-0000-000009260000}"/>
    <cellStyle name="Normal 61 8" xfId="9770" xr:uid="{00000000-0005-0000-0000-00000A260000}"/>
    <cellStyle name="Normal 62" xfId="9771" xr:uid="{00000000-0005-0000-0000-00000B260000}"/>
    <cellStyle name="Normal 62 2" xfId="9772" xr:uid="{00000000-0005-0000-0000-00000C260000}"/>
    <cellStyle name="Normal 62 2 2" xfId="9773" xr:uid="{00000000-0005-0000-0000-00000D260000}"/>
    <cellStyle name="Normal 62 2 2 2" xfId="9774" xr:uid="{00000000-0005-0000-0000-00000E260000}"/>
    <cellStyle name="Normal 62 2 2 2 2" xfId="9775" xr:uid="{00000000-0005-0000-0000-00000F260000}"/>
    <cellStyle name="Normal 62 2 2 2 2 2" xfId="9776" xr:uid="{00000000-0005-0000-0000-000010260000}"/>
    <cellStyle name="Normal 62 2 2 2 3" xfId="9777" xr:uid="{00000000-0005-0000-0000-000011260000}"/>
    <cellStyle name="Normal 62 2 2 2 3 2" xfId="9778" xr:uid="{00000000-0005-0000-0000-000012260000}"/>
    <cellStyle name="Normal 62 2 2 2 4" xfId="9779" xr:uid="{00000000-0005-0000-0000-000013260000}"/>
    <cellStyle name="Normal 62 2 2 3" xfId="9780" xr:uid="{00000000-0005-0000-0000-000014260000}"/>
    <cellStyle name="Normal 62 2 2 3 2" xfId="9781" xr:uid="{00000000-0005-0000-0000-000015260000}"/>
    <cellStyle name="Normal 62 2 2 3 2 2" xfId="9782" xr:uid="{00000000-0005-0000-0000-000016260000}"/>
    <cellStyle name="Normal 62 2 2 3 3" xfId="9783" xr:uid="{00000000-0005-0000-0000-000017260000}"/>
    <cellStyle name="Normal 62 2 2 4" xfId="9784" xr:uid="{00000000-0005-0000-0000-000018260000}"/>
    <cellStyle name="Normal 62 2 2 4 2" xfId="9785" xr:uid="{00000000-0005-0000-0000-000019260000}"/>
    <cellStyle name="Normal 62 2 2 5" xfId="9786" xr:uid="{00000000-0005-0000-0000-00001A260000}"/>
    <cellStyle name="Normal 62 2 2 5 2" xfId="9787" xr:uid="{00000000-0005-0000-0000-00001B260000}"/>
    <cellStyle name="Normal 62 2 2 6" xfId="9788" xr:uid="{00000000-0005-0000-0000-00001C260000}"/>
    <cellStyle name="Normal 62 2 3" xfId="9789" xr:uid="{00000000-0005-0000-0000-00001D260000}"/>
    <cellStyle name="Normal 62 2 3 2" xfId="9790" xr:uid="{00000000-0005-0000-0000-00001E260000}"/>
    <cellStyle name="Normal 62 2 3 2 2" xfId="9791" xr:uid="{00000000-0005-0000-0000-00001F260000}"/>
    <cellStyle name="Normal 62 2 3 3" xfId="9792" xr:uid="{00000000-0005-0000-0000-000020260000}"/>
    <cellStyle name="Normal 62 2 3 3 2" xfId="9793" xr:uid="{00000000-0005-0000-0000-000021260000}"/>
    <cellStyle name="Normal 62 2 3 4" xfId="9794" xr:uid="{00000000-0005-0000-0000-000022260000}"/>
    <cellStyle name="Normal 62 2 4" xfId="9795" xr:uid="{00000000-0005-0000-0000-000023260000}"/>
    <cellStyle name="Normal 62 2 4 2" xfId="9796" xr:uid="{00000000-0005-0000-0000-000024260000}"/>
    <cellStyle name="Normal 62 2 4 2 2" xfId="9797" xr:uid="{00000000-0005-0000-0000-000025260000}"/>
    <cellStyle name="Normal 62 2 4 3" xfId="9798" xr:uid="{00000000-0005-0000-0000-000026260000}"/>
    <cellStyle name="Normal 62 2 5" xfId="9799" xr:uid="{00000000-0005-0000-0000-000027260000}"/>
    <cellStyle name="Normal 62 2 5 2" xfId="9800" xr:uid="{00000000-0005-0000-0000-000028260000}"/>
    <cellStyle name="Normal 62 2 6" xfId="9801" xr:uid="{00000000-0005-0000-0000-000029260000}"/>
    <cellStyle name="Normal 62 2 6 2" xfId="9802" xr:uid="{00000000-0005-0000-0000-00002A260000}"/>
    <cellStyle name="Normal 62 2 7" xfId="9803" xr:uid="{00000000-0005-0000-0000-00002B260000}"/>
    <cellStyle name="Normal 62 3" xfId="9804" xr:uid="{00000000-0005-0000-0000-00002C260000}"/>
    <cellStyle name="Normal 62 3 2" xfId="9805" xr:uid="{00000000-0005-0000-0000-00002D260000}"/>
    <cellStyle name="Normal 62 3 2 2" xfId="9806" xr:uid="{00000000-0005-0000-0000-00002E260000}"/>
    <cellStyle name="Normal 62 3 2 2 2" xfId="9807" xr:uid="{00000000-0005-0000-0000-00002F260000}"/>
    <cellStyle name="Normal 62 3 2 3" xfId="9808" xr:uid="{00000000-0005-0000-0000-000030260000}"/>
    <cellStyle name="Normal 62 3 2 3 2" xfId="9809" xr:uid="{00000000-0005-0000-0000-000031260000}"/>
    <cellStyle name="Normal 62 3 2 4" xfId="9810" xr:uid="{00000000-0005-0000-0000-000032260000}"/>
    <cellStyle name="Normal 62 3 3" xfId="9811" xr:uid="{00000000-0005-0000-0000-000033260000}"/>
    <cellStyle name="Normal 62 3 3 2" xfId="9812" xr:uid="{00000000-0005-0000-0000-000034260000}"/>
    <cellStyle name="Normal 62 3 3 2 2" xfId="9813" xr:uid="{00000000-0005-0000-0000-000035260000}"/>
    <cellStyle name="Normal 62 3 3 3" xfId="9814" xr:uid="{00000000-0005-0000-0000-000036260000}"/>
    <cellStyle name="Normal 62 3 4" xfId="9815" xr:uid="{00000000-0005-0000-0000-000037260000}"/>
    <cellStyle name="Normal 62 3 4 2" xfId="9816" xr:uid="{00000000-0005-0000-0000-000038260000}"/>
    <cellStyle name="Normal 62 3 5" xfId="9817" xr:uid="{00000000-0005-0000-0000-000039260000}"/>
    <cellStyle name="Normal 62 3 5 2" xfId="9818" xr:uid="{00000000-0005-0000-0000-00003A260000}"/>
    <cellStyle name="Normal 62 3 6" xfId="9819" xr:uid="{00000000-0005-0000-0000-00003B260000}"/>
    <cellStyle name="Normal 62 4" xfId="9820" xr:uid="{00000000-0005-0000-0000-00003C260000}"/>
    <cellStyle name="Normal 62 4 2" xfId="9821" xr:uid="{00000000-0005-0000-0000-00003D260000}"/>
    <cellStyle name="Normal 62 4 2 2" xfId="9822" xr:uid="{00000000-0005-0000-0000-00003E260000}"/>
    <cellStyle name="Normal 62 4 3" xfId="9823" xr:uid="{00000000-0005-0000-0000-00003F260000}"/>
    <cellStyle name="Normal 62 4 3 2" xfId="9824" xr:uid="{00000000-0005-0000-0000-000040260000}"/>
    <cellStyle name="Normal 62 4 4" xfId="9825" xr:uid="{00000000-0005-0000-0000-000041260000}"/>
    <cellStyle name="Normal 62 5" xfId="9826" xr:uid="{00000000-0005-0000-0000-000042260000}"/>
    <cellStyle name="Normal 62 5 2" xfId="9827" xr:uid="{00000000-0005-0000-0000-000043260000}"/>
    <cellStyle name="Normal 62 5 2 2" xfId="9828" xr:uid="{00000000-0005-0000-0000-000044260000}"/>
    <cellStyle name="Normal 62 5 3" xfId="9829" xr:uid="{00000000-0005-0000-0000-000045260000}"/>
    <cellStyle name="Normal 62 6" xfId="9830" xr:uid="{00000000-0005-0000-0000-000046260000}"/>
    <cellStyle name="Normal 62 6 2" xfId="9831" xr:uid="{00000000-0005-0000-0000-000047260000}"/>
    <cellStyle name="Normal 62 7" xfId="9832" xr:uid="{00000000-0005-0000-0000-000048260000}"/>
    <cellStyle name="Normal 62 7 2" xfId="9833" xr:uid="{00000000-0005-0000-0000-000049260000}"/>
    <cellStyle name="Normal 62 8" xfId="9834" xr:uid="{00000000-0005-0000-0000-00004A260000}"/>
    <cellStyle name="Normal 63" xfId="9835" xr:uid="{00000000-0005-0000-0000-00004B260000}"/>
    <cellStyle name="Normal 63 2" xfId="9836" xr:uid="{00000000-0005-0000-0000-00004C260000}"/>
    <cellStyle name="Normal 63 2 2" xfId="9837" xr:uid="{00000000-0005-0000-0000-00004D260000}"/>
    <cellStyle name="Normal 63 2 2 2" xfId="9838" xr:uid="{00000000-0005-0000-0000-00004E260000}"/>
    <cellStyle name="Normal 63 2 2 2 2" xfId="9839" xr:uid="{00000000-0005-0000-0000-00004F260000}"/>
    <cellStyle name="Normal 63 2 2 2 2 2" xfId="9840" xr:uid="{00000000-0005-0000-0000-000050260000}"/>
    <cellStyle name="Normal 63 2 2 2 3" xfId="9841" xr:uid="{00000000-0005-0000-0000-000051260000}"/>
    <cellStyle name="Normal 63 2 2 2 3 2" xfId="9842" xr:uid="{00000000-0005-0000-0000-000052260000}"/>
    <cellStyle name="Normal 63 2 2 2 4" xfId="9843" xr:uid="{00000000-0005-0000-0000-000053260000}"/>
    <cellStyle name="Normal 63 2 2 3" xfId="9844" xr:uid="{00000000-0005-0000-0000-000054260000}"/>
    <cellStyle name="Normal 63 2 2 3 2" xfId="9845" xr:uid="{00000000-0005-0000-0000-000055260000}"/>
    <cellStyle name="Normal 63 2 2 3 2 2" xfId="9846" xr:uid="{00000000-0005-0000-0000-000056260000}"/>
    <cellStyle name="Normal 63 2 2 3 3" xfId="9847" xr:uid="{00000000-0005-0000-0000-000057260000}"/>
    <cellStyle name="Normal 63 2 2 4" xfId="9848" xr:uid="{00000000-0005-0000-0000-000058260000}"/>
    <cellStyle name="Normal 63 2 2 4 2" xfId="9849" xr:uid="{00000000-0005-0000-0000-000059260000}"/>
    <cellStyle name="Normal 63 2 2 5" xfId="9850" xr:uid="{00000000-0005-0000-0000-00005A260000}"/>
    <cellStyle name="Normal 63 2 2 5 2" xfId="9851" xr:uid="{00000000-0005-0000-0000-00005B260000}"/>
    <cellStyle name="Normal 63 2 2 6" xfId="9852" xr:uid="{00000000-0005-0000-0000-00005C260000}"/>
    <cellStyle name="Normal 63 2 3" xfId="9853" xr:uid="{00000000-0005-0000-0000-00005D260000}"/>
    <cellStyle name="Normal 63 2 3 2" xfId="9854" xr:uid="{00000000-0005-0000-0000-00005E260000}"/>
    <cellStyle name="Normal 63 2 3 2 2" xfId="9855" xr:uid="{00000000-0005-0000-0000-00005F260000}"/>
    <cellStyle name="Normal 63 2 3 3" xfId="9856" xr:uid="{00000000-0005-0000-0000-000060260000}"/>
    <cellStyle name="Normal 63 2 3 3 2" xfId="9857" xr:uid="{00000000-0005-0000-0000-000061260000}"/>
    <cellStyle name="Normal 63 2 3 4" xfId="9858" xr:uid="{00000000-0005-0000-0000-000062260000}"/>
    <cellStyle name="Normal 63 2 4" xfId="9859" xr:uid="{00000000-0005-0000-0000-000063260000}"/>
    <cellStyle name="Normal 63 2 4 2" xfId="9860" xr:uid="{00000000-0005-0000-0000-000064260000}"/>
    <cellStyle name="Normal 63 2 4 2 2" xfId="9861" xr:uid="{00000000-0005-0000-0000-000065260000}"/>
    <cellStyle name="Normal 63 2 4 3" xfId="9862" xr:uid="{00000000-0005-0000-0000-000066260000}"/>
    <cellStyle name="Normal 63 2 5" xfId="9863" xr:uid="{00000000-0005-0000-0000-000067260000}"/>
    <cellStyle name="Normal 63 2 5 2" xfId="9864" xr:uid="{00000000-0005-0000-0000-000068260000}"/>
    <cellStyle name="Normal 63 2 6" xfId="9865" xr:uid="{00000000-0005-0000-0000-000069260000}"/>
    <cellStyle name="Normal 63 2 6 2" xfId="9866" xr:uid="{00000000-0005-0000-0000-00006A260000}"/>
    <cellStyle name="Normal 63 2 7" xfId="9867" xr:uid="{00000000-0005-0000-0000-00006B260000}"/>
    <cellStyle name="Normal 63 3" xfId="9868" xr:uid="{00000000-0005-0000-0000-00006C260000}"/>
    <cellStyle name="Normal 63 3 2" xfId="9869" xr:uid="{00000000-0005-0000-0000-00006D260000}"/>
    <cellStyle name="Normal 63 3 2 2" xfId="9870" xr:uid="{00000000-0005-0000-0000-00006E260000}"/>
    <cellStyle name="Normal 63 3 2 2 2" xfId="9871" xr:uid="{00000000-0005-0000-0000-00006F260000}"/>
    <cellStyle name="Normal 63 3 2 3" xfId="9872" xr:uid="{00000000-0005-0000-0000-000070260000}"/>
    <cellStyle name="Normal 63 3 2 3 2" xfId="9873" xr:uid="{00000000-0005-0000-0000-000071260000}"/>
    <cellStyle name="Normal 63 3 2 4" xfId="9874" xr:uid="{00000000-0005-0000-0000-000072260000}"/>
    <cellStyle name="Normal 63 3 3" xfId="9875" xr:uid="{00000000-0005-0000-0000-000073260000}"/>
    <cellStyle name="Normal 63 3 3 2" xfId="9876" xr:uid="{00000000-0005-0000-0000-000074260000}"/>
    <cellStyle name="Normal 63 3 3 2 2" xfId="9877" xr:uid="{00000000-0005-0000-0000-000075260000}"/>
    <cellStyle name="Normal 63 3 3 3" xfId="9878" xr:uid="{00000000-0005-0000-0000-000076260000}"/>
    <cellStyle name="Normal 63 3 4" xfId="9879" xr:uid="{00000000-0005-0000-0000-000077260000}"/>
    <cellStyle name="Normal 63 3 4 2" xfId="9880" xr:uid="{00000000-0005-0000-0000-000078260000}"/>
    <cellStyle name="Normal 63 3 5" xfId="9881" xr:uid="{00000000-0005-0000-0000-000079260000}"/>
    <cellStyle name="Normal 63 3 5 2" xfId="9882" xr:uid="{00000000-0005-0000-0000-00007A260000}"/>
    <cellStyle name="Normal 63 3 6" xfId="9883" xr:uid="{00000000-0005-0000-0000-00007B260000}"/>
    <cellStyle name="Normal 63 4" xfId="9884" xr:uid="{00000000-0005-0000-0000-00007C260000}"/>
    <cellStyle name="Normal 63 4 2" xfId="9885" xr:uid="{00000000-0005-0000-0000-00007D260000}"/>
    <cellStyle name="Normal 63 4 2 2" xfId="9886" xr:uid="{00000000-0005-0000-0000-00007E260000}"/>
    <cellStyle name="Normal 63 4 3" xfId="9887" xr:uid="{00000000-0005-0000-0000-00007F260000}"/>
    <cellStyle name="Normal 63 4 3 2" xfId="9888" xr:uid="{00000000-0005-0000-0000-000080260000}"/>
    <cellStyle name="Normal 63 4 4" xfId="9889" xr:uid="{00000000-0005-0000-0000-000081260000}"/>
    <cellStyle name="Normal 63 5" xfId="9890" xr:uid="{00000000-0005-0000-0000-000082260000}"/>
    <cellStyle name="Normal 63 5 2" xfId="9891" xr:uid="{00000000-0005-0000-0000-000083260000}"/>
    <cellStyle name="Normal 63 5 2 2" xfId="9892" xr:uid="{00000000-0005-0000-0000-000084260000}"/>
    <cellStyle name="Normal 63 5 3" xfId="9893" xr:uid="{00000000-0005-0000-0000-000085260000}"/>
    <cellStyle name="Normal 63 6" xfId="9894" xr:uid="{00000000-0005-0000-0000-000086260000}"/>
    <cellStyle name="Normal 63 6 2" xfId="9895" xr:uid="{00000000-0005-0000-0000-000087260000}"/>
    <cellStyle name="Normal 63 7" xfId="9896" xr:uid="{00000000-0005-0000-0000-000088260000}"/>
    <cellStyle name="Normal 63 7 2" xfId="9897" xr:uid="{00000000-0005-0000-0000-000089260000}"/>
    <cellStyle name="Normal 63 8" xfId="9898" xr:uid="{00000000-0005-0000-0000-00008A260000}"/>
    <cellStyle name="Normal 64" xfId="9899" xr:uid="{00000000-0005-0000-0000-00008B260000}"/>
    <cellStyle name="Normal 64 2" xfId="9900" xr:uid="{00000000-0005-0000-0000-00008C260000}"/>
    <cellStyle name="Normal 64 2 2" xfId="9901" xr:uid="{00000000-0005-0000-0000-00008D260000}"/>
    <cellStyle name="Normal 64 2 2 2" xfId="9902" xr:uid="{00000000-0005-0000-0000-00008E260000}"/>
    <cellStyle name="Normal 64 2 2 2 2" xfId="9903" xr:uid="{00000000-0005-0000-0000-00008F260000}"/>
    <cellStyle name="Normal 64 2 2 2 2 2" xfId="9904" xr:uid="{00000000-0005-0000-0000-000090260000}"/>
    <cellStyle name="Normal 64 2 2 2 3" xfId="9905" xr:uid="{00000000-0005-0000-0000-000091260000}"/>
    <cellStyle name="Normal 64 2 2 2 3 2" xfId="9906" xr:uid="{00000000-0005-0000-0000-000092260000}"/>
    <cellStyle name="Normal 64 2 2 2 4" xfId="9907" xr:uid="{00000000-0005-0000-0000-000093260000}"/>
    <cellStyle name="Normal 64 2 2 3" xfId="9908" xr:uid="{00000000-0005-0000-0000-000094260000}"/>
    <cellStyle name="Normal 64 2 2 3 2" xfId="9909" xr:uid="{00000000-0005-0000-0000-000095260000}"/>
    <cellStyle name="Normal 64 2 2 3 2 2" xfId="9910" xr:uid="{00000000-0005-0000-0000-000096260000}"/>
    <cellStyle name="Normal 64 2 2 3 3" xfId="9911" xr:uid="{00000000-0005-0000-0000-000097260000}"/>
    <cellStyle name="Normal 64 2 2 4" xfId="9912" xr:uid="{00000000-0005-0000-0000-000098260000}"/>
    <cellStyle name="Normal 64 2 2 4 2" xfId="9913" xr:uid="{00000000-0005-0000-0000-000099260000}"/>
    <cellStyle name="Normal 64 2 2 5" xfId="9914" xr:uid="{00000000-0005-0000-0000-00009A260000}"/>
    <cellStyle name="Normal 64 2 2 5 2" xfId="9915" xr:uid="{00000000-0005-0000-0000-00009B260000}"/>
    <cellStyle name="Normal 64 2 2 6" xfId="9916" xr:uid="{00000000-0005-0000-0000-00009C260000}"/>
    <cellStyle name="Normal 64 2 3" xfId="9917" xr:uid="{00000000-0005-0000-0000-00009D260000}"/>
    <cellStyle name="Normal 64 2 3 2" xfId="9918" xr:uid="{00000000-0005-0000-0000-00009E260000}"/>
    <cellStyle name="Normal 64 2 3 2 2" xfId="9919" xr:uid="{00000000-0005-0000-0000-00009F260000}"/>
    <cellStyle name="Normal 64 2 3 3" xfId="9920" xr:uid="{00000000-0005-0000-0000-0000A0260000}"/>
    <cellStyle name="Normal 64 2 3 3 2" xfId="9921" xr:uid="{00000000-0005-0000-0000-0000A1260000}"/>
    <cellStyle name="Normal 64 2 3 4" xfId="9922" xr:uid="{00000000-0005-0000-0000-0000A2260000}"/>
    <cellStyle name="Normal 64 2 4" xfId="9923" xr:uid="{00000000-0005-0000-0000-0000A3260000}"/>
    <cellStyle name="Normal 64 2 4 2" xfId="9924" xr:uid="{00000000-0005-0000-0000-0000A4260000}"/>
    <cellStyle name="Normal 64 2 4 2 2" xfId="9925" xr:uid="{00000000-0005-0000-0000-0000A5260000}"/>
    <cellStyle name="Normal 64 2 4 3" xfId="9926" xr:uid="{00000000-0005-0000-0000-0000A6260000}"/>
    <cellStyle name="Normal 64 2 5" xfId="9927" xr:uid="{00000000-0005-0000-0000-0000A7260000}"/>
    <cellStyle name="Normal 64 2 5 2" xfId="9928" xr:uid="{00000000-0005-0000-0000-0000A8260000}"/>
    <cellStyle name="Normal 64 2 6" xfId="9929" xr:uid="{00000000-0005-0000-0000-0000A9260000}"/>
    <cellStyle name="Normal 64 2 6 2" xfId="9930" xr:uid="{00000000-0005-0000-0000-0000AA260000}"/>
    <cellStyle name="Normal 64 2 7" xfId="9931" xr:uid="{00000000-0005-0000-0000-0000AB260000}"/>
    <cellStyle name="Normal 64 3" xfId="9932" xr:uid="{00000000-0005-0000-0000-0000AC260000}"/>
    <cellStyle name="Normal 64 3 2" xfId="9933" xr:uid="{00000000-0005-0000-0000-0000AD260000}"/>
    <cellStyle name="Normal 64 3 2 2" xfId="9934" xr:uid="{00000000-0005-0000-0000-0000AE260000}"/>
    <cellStyle name="Normal 64 3 2 2 2" xfId="9935" xr:uid="{00000000-0005-0000-0000-0000AF260000}"/>
    <cellStyle name="Normal 64 3 2 3" xfId="9936" xr:uid="{00000000-0005-0000-0000-0000B0260000}"/>
    <cellStyle name="Normal 64 3 2 3 2" xfId="9937" xr:uid="{00000000-0005-0000-0000-0000B1260000}"/>
    <cellStyle name="Normal 64 3 2 4" xfId="9938" xr:uid="{00000000-0005-0000-0000-0000B2260000}"/>
    <cellStyle name="Normal 64 3 3" xfId="9939" xr:uid="{00000000-0005-0000-0000-0000B3260000}"/>
    <cellStyle name="Normal 64 3 3 2" xfId="9940" xr:uid="{00000000-0005-0000-0000-0000B4260000}"/>
    <cellStyle name="Normal 64 3 3 2 2" xfId="9941" xr:uid="{00000000-0005-0000-0000-0000B5260000}"/>
    <cellStyle name="Normal 64 3 3 3" xfId="9942" xr:uid="{00000000-0005-0000-0000-0000B6260000}"/>
    <cellStyle name="Normal 64 3 4" xfId="9943" xr:uid="{00000000-0005-0000-0000-0000B7260000}"/>
    <cellStyle name="Normal 64 3 4 2" xfId="9944" xr:uid="{00000000-0005-0000-0000-0000B8260000}"/>
    <cellStyle name="Normal 64 3 5" xfId="9945" xr:uid="{00000000-0005-0000-0000-0000B9260000}"/>
    <cellStyle name="Normal 64 3 5 2" xfId="9946" xr:uid="{00000000-0005-0000-0000-0000BA260000}"/>
    <cellStyle name="Normal 64 3 6" xfId="9947" xr:uid="{00000000-0005-0000-0000-0000BB260000}"/>
    <cellStyle name="Normal 64 4" xfId="9948" xr:uid="{00000000-0005-0000-0000-0000BC260000}"/>
    <cellStyle name="Normal 64 4 2" xfId="9949" xr:uid="{00000000-0005-0000-0000-0000BD260000}"/>
    <cellStyle name="Normal 64 4 2 2" xfId="9950" xr:uid="{00000000-0005-0000-0000-0000BE260000}"/>
    <cellStyle name="Normal 64 4 3" xfId="9951" xr:uid="{00000000-0005-0000-0000-0000BF260000}"/>
    <cellStyle name="Normal 64 4 3 2" xfId="9952" xr:uid="{00000000-0005-0000-0000-0000C0260000}"/>
    <cellStyle name="Normal 64 4 4" xfId="9953" xr:uid="{00000000-0005-0000-0000-0000C1260000}"/>
    <cellStyle name="Normal 64 5" xfId="9954" xr:uid="{00000000-0005-0000-0000-0000C2260000}"/>
    <cellStyle name="Normal 64 5 2" xfId="9955" xr:uid="{00000000-0005-0000-0000-0000C3260000}"/>
    <cellStyle name="Normal 64 5 2 2" xfId="9956" xr:uid="{00000000-0005-0000-0000-0000C4260000}"/>
    <cellStyle name="Normal 64 5 3" xfId="9957" xr:uid="{00000000-0005-0000-0000-0000C5260000}"/>
    <cellStyle name="Normal 64 6" xfId="9958" xr:uid="{00000000-0005-0000-0000-0000C6260000}"/>
    <cellStyle name="Normal 64 6 2" xfId="9959" xr:uid="{00000000-0005-0000-0000-0000C7260000}"/>
    <cellStyle name="Normal 64 7" xfId="9960" xr:uid="{00000000-0005-0000-0000-0000C8260000}"/>
    <cellStyle name="Normal 64 7 2" xfId="9961" xr:uid="{00000000-0005-0000-0000-0000C9260000}"/>
    <cellStyle name="Normal 64 8" xfId="9962" xr:uid="{00000000-0005-0000-0000-0000CA260000}"/>
    <cellStyle name="Normal 65" xfId="9963" xr:uid="{00000000-0005-0000-0000-0000CB260000}"/>
    <cellStyle name="Normal 65 2" xfId="9964" xr:uid="{00000000-0005-0000-0000-0000CC260000}"/>
    <cellStyle name="Normal 65 2 2" xfId="9965" xr:uid="{00000000-0005-0000-0000-0000CD260000}"/>
    <cellStyle name="Normal 65 2 2 2" xfId="9966" xr:uid="{00000000-0005-0000-0000-0000CE260000}"/>
    <cellStyle name="Normal 65 2 2 2 2" xfId="9967" xr:uid="{00000000-0005-0000-0000-0000CF260000}"/>
    <cellStyle name="Normal 65 2 2 2 2 2" xfId="9968" xr:uid="{00000000-0005-0000-0000-0000D0260000}"/>
    <cellStyle name="Normal 65 2 2 2 3" xfId="9969" xr:uid="{00000000-0005-0000-0000-0000D1260000}"/>
    <cellStyle name="Normal 65 2 2 2 3 2" xfId="9970" xr:uid="{00000000-0005-0000-0000-0000D2260000}"/>
    <cellStyle name="Normal 65 2 2 2 4" xfId="9971" xr:uid="{00000000-0005-0000-0000-0000D3260000}"/>
    <cellStyle name="Normal 65 2 2 3" xfId="9972" xr:uid="{00000000-0005-0000-0000-0000D4260000}"/>
    <cellStyle name="Normal 65 2 2 3 2" xfId="9973" xr:uid="{00000000-0005-0000-0000-0000D5260000}"/>
    <cellStyle name="Normal 65 2 2 3 2 2" xfId="9974" xr:uid="{00000000-0005-0000-0000-0000D6260000}"/>
    <cellStyle name="Normal 65 2 2 3 3" xfId="9975" xr:uid="{00000000-0005-0000-0000-0000D7260000}"/>
    <cellStyle name="Normal 65 2 2 4" xfId="9976" xr:uid="{00000000-0005-0000-0000-0000D8260000}"/>
    <cellStyle name="Normal 65 2 2 4 2" xfId="9977" xr:uid="{00000000-0005-0000-0000-0000D9260000}"/>
    <cellStyle name="Normal 65 2 2 5" xfId="9978" xr:uid="{00000000-0005-0000-0000-0000DA260000}"/>
    <cellStyle name="Normal 65 2 2 5 2" xfId="9979" xr:uid="{00000000-0005-0000-0000-0000DB260000}"/>
    <cellStyle name="Normal 65 2 2 6" xfId="9980" xr:uid="{00000000-0005-0000-0000-0000DC260000}"/>
    <cellStyle name="Normal 65 2 3" xfId="9981" xr:uid="{00000000-0005-0000-0000-0000DD260000}"/>
    <cellStyle name="Normal 65 2 3 2" xfId="9982" xr:uid="{00000000-0005-0000-0000-0000DE260000}"/>
    <cellStyle name="Normal 65 2 3 2 2" xfId="9983" xr:uid="{00000000-0005-0000-0000-0000DF260000}"/>
    <cellStyle name="Normal 65 2 3 3" xfId="9984" xr:uid="{00000000-0005-0000-0000-0000E0260000}"/>
    <cellStyle name="Normal 65 2 3 3 2" xfId="9985" xr:uid="{00000000-0005-0000-0000-0000E1260000}"/>
    <cellStyle name="Normal 65 2 3 4" xfId="9986" xr:uid="{00000000-0005-0000-0000-0000E2260000}"/>
    <cellStyle name="Normal 65 2 4" xfId="9987" xr:uid="{00000000-0005-0000-0000-0000E3260000}"/>
    <cellStyle name="Normal 65 2 4 2" xfId="9988" xr:uid="{00000000-0005-0000-0000-0000E4260000}"/>
    <cellStyle name="Normal 65 2 4 2 2" xfId="9989" xr:uid="{00000000-0005-0000-0000-0000E5260000}"/>
    <cellStyle name="Normal 65 2 4 3" xfId="9990" xr:uid="{00000000-0005-0000-0000-0000E6260000}"/>
    <cellStyle name="Normal 65 2 5" xfId="9991" xr:uid="{00000000-0005-0000-0000-0000E7260000}"/>
    <cellStyle name="Normal 65 2 5 2" xfId="9992" xr:uid="{00000000-0005-0000-0000-0000E8260000}"/>
    <cellStyle name="Normal 65 2 6" xfId="9993" xr:uid="{00000000-0005-0000-0000-0000E9260000}"/>
    <cellStyle name="Normal 65 2 6 2" xfId="9994" xr:uid="{00000000-0005-0000-0000-0000EA260000}"/>
    <cellStyle name="Normal 65 2 7" xfId="9995" xr:uid="{00000000-0005-0000-0000-0000EB260000}"/>
    <cellStyle name="Normal 65 3" xfId="9996" xr:uid="{00000000-0005-0000-0000-0000EC260000}"/>
    <cellStyle name="Normal 65 3 2" xfId="9997" xr:uid="{00000000-0005-0000-0000-0000ED260000}"/>
    <cellStyle name="Normal 65 3 2 2" xfId="9998" xr:uid="{00000000-0005-0000-0000-0000EE260000}"/>
    <cellStyle name="Normal 65 3 2 2 2" xfId="9999" xr:uid="{00000000-0005-0000-0000-0000EF260000}"/>
    <cellStyle name="Normal 65 3 2 3" xfId="10000" xr:uid="{00000000-0005-0000-0000-0000F0260000}"/>
    <cellStyle name="Normal 65 3 2 3 2" xfId="10001" xr:uid="{00000000-0005-0000-0000-0000F1260000}"/>
    <cellStyle name="Normal 65 3 2 4" xfId="10002" xr:uid="{00000000-0005-0000-0000-0000F2260000}"/>
    <cellStyle name="Normal 65 3 3" xfId="10003" xr:uid="{00000000-0005-0000-0000-0000F3260000}"/>
    <cellStyle name="Normal 65 3 3 2" xfId="10004" xr:uid="{00000000-0005-0000-0000-0000F4260000}"/>
    <cellStyle name="Normal 65 3 3 2 2" xfId="10005" xr:uid="{00000000-0005-0000-0000-0000F5260000}"/>
    <cellStyle name="Normal 65 3 3 3" xfId="10006" xr:uid="{00000000-0005-0000-0000-0000F6260000}"/>
    <cellStyle name="Normal 65 3 4" xfId="10007" xr:uid="{00000000-0005-0000-0000-0000F7260000}"/>
    <cellStyle name="Normal 65 3 4 2" xfId="10008" xr:uid="{00000000-0005-0000-0000-0000F8260000}"/>
    <cellStyle name="Normal 65 3 5" xfId="10009" xr:uid="{00000000-0005-0000-0000-0000F9260000}"/>
    <cellStyle name="Normal 65 3 5 2" xfId="10010" xr:uid="{00000000-0005-0000-0000-0000FA260000}"/>
    <cellStyle name="Normal 65 3 6" xfId="10011" xr:uid="{00000000-0005-0000-0000-0000FB260000}"/>
    <cellStyle name="Normal 65 4" xfId="10012" xr:uid="{00000000-0005-0000-0000-0000FC260000}"/>
    <cellStyle name="Normal 65 4 2" xfId="10013" xr:uid="{00000000-0005-0000-0000-0000FD260000}"/>
    <cellStyle name="Normal 65 4 2 2" xfId="10014" xr:uid="{00000000-0005-0000-0000-0000FE260000}"/>
    <cellStyle name="Normal 65 4 3" xfId="10015" xr:uid="{00000000-0005-0000-0000-0000FF260000}"/>
    <cellStyle name="Normal 65 4 3 2" xfId="10016" xr:uid="{00000000-0005-0000-0000-000000270000}"/>
    <cellStyle name="Normal 65 4 4" xfId="10017" xr:uid="{00000000-0005-0000-0000-000001270000}"/>
    <cellStyle name="Normal 65 5" xfId="10018" xr:uid="{00000000-0005-0000-0000-000002270000}"/>
    <cellStyle name="Normal 65 5 2" xfId="10019" xr:uid="{00000000-0005-0000-0000-000003270000}"/>
    <cellStyle name="Normal 65 5 2 2" xfId="10020" xr:uid="{00000000-0005-0000-0000-000004270000}"/>
    <cellStyle name="Normal 65 5 3" xfId="10021" xr:uid="{00000000-0005-0000-0000-000005270000}"/>
    <cellStyle name="Normal 65 6" xfId="10022" xr:uid="{00000000-0005-0000-0000-000006270000}"/>
    <cellStyle name="Normal 65 6 2" xfId="10023" xr:uid="{00000000-0005-0000-0000-000007270000}"/>
    <cellStyle name="Normal 65 7" xfId="10024" xr:uid="{00000000-0005-0000-0000-000008270000}"/>
    <cellStyle name="Normal 65 7 2" xfId="10025" xr:uid="{00000000-0005-0000-0000-000009270000}"/>
    <cellStyle name="Normal 65 8" xfId="10026" xr:uid="{00000000-0005-0000-0000-00000A270000}"/>
    <cellStyle name="Normal 66" xfId="10027" xr:uid="{00000000-0005-0000-0000-00000B270000}"/>
    <cellStyle name="Normal 66 2" xfId="10028" xr:uid="{00000000-0005-0000-0000-00000C270000}"/>
    <cellStyle name="Normal 66 2 2" xfId="10029" xr:uid="{00000000-0005-0000-0000-00000D270000}"/>
    <cellStyle name="Normal 66 2 2 2" xfId="10030" xr:uid="{00000000-0005-0000-0000-00000E270000}"/>
    <cellStyle name="Normal 66 2 2 2 2" xfId="10031" xr:uid="{00000000-0005-0000-0000-00000F270000}"/>
    <cellStyle name="Normal 66 2 2 2 2 2" xfId="10032" xr:uid="{00000000-0005-0000-0000-000010270000}"/>
    <cellStyle name="Normal 66 2 2 2 3" xfId="10033" xr:uid="{00000000-0005-0000-0000-000011270000}"/>
    <cellStyle name="Normal 66 2 2 2 3 2" xfId="10034" xr:uid="{00000000-0005-0000-0000-000012270000}"/>
    <cellStyle name="Normal 66 2 2 2 4" xfId="10035" xr:uid="{00000000-0005-0000-0000-000013270000}"/>
    <cellStyle name="Normal 66 2 2 3" xfId="10036" xr:uid="{00000000-0005-0000-0000-000014270000}"/>
    <cellStyle name="Normal 66 2 2 3 2" xfId="10037" xr:uid="{00000000-0005-0000-0000-000015270000}"/>
    <cellStyle name="Normal 66 2 2 3 2 2" xfId="10038" xr:uid="{00000000-0005-0000-0000-000016270000}"/>
    <cellStyle name="Normal 66 2 2 3 3" xfId="10039" xr:uid="{00000000-0005-0000-0000-000017270000}"/>
    <cellStyle name="Normal 66 2 2 4" xfId="10040" xr:uid="{00000000-0005-0000-0000-000018270000}"/>
    <cellStyle name="Normal 66 2 2 4 2" xfId="10041" xr:uid="{00000000-0005-0000-0000-000019270000}"/>
    <cellStyle name="Normal 66 2 2 5" xfId="10042" xr:uid="{00000000-0005-0000-0000-00001A270000}"/>
    <cellStyle name="Normal 66 2 2 5 2" xfId="10043" xr:uid="{00000000-0005-0000-0000-00001B270000}"/>
    <cellStyle name="Normal 66 2 2 6" xfId="10044" xr:uid="{00000000-0005-0000-0000-00001C270000}"/>
    <cellStyle name="Normal 66 2 3" xfId="10045" xr:uid="{00000000-0005-0000-0000-00001D270000}"/>
    <cellStyle name="Normal 66 2 3 2" xfId="10046" xr:uid="{00000000-0005-0000-0000-00001E270000}"/>
    <cellStyle name="Normal 66 2 3 2 2" xfId="10047" xr:uid="{00000000-0005-0000-0000-00001F270000}"/>
    <cellStyle name="Normal 66 2 3 3" xfId="10048" xr:uid="{00000000-0005-0000-0000-000020270000}"/>
    <cellStyle name="Normal 66 2 3 3 2" xfId="10049" xr:uid="{00000000-0005-0000-0000-000021270000}"/>
    <cellStyle name="Normal 66 2 3 4" xfId="10050" xr:uid="{00000000-0005-0000-0000-000022270000}"/>
    <cellStyle name="Normal 66 2 4" xfId="10051" xr:uid="{00000000-0005-0000-0000-000023270000}"/>
    <cellStyle name="Normal 66 2 4 2" xfId="10052" xr:uid="{00000000-0005-0000-0000-000024270000}"/>
    <cellStyle name="Normal 66 2 4 2 2" xfId="10053" xr:uid="{00000000-0005-0000-0000-000025270000}"/>
    <cellStyle name="Normal 66 2 4 3" xfId="10054" xr:uid="{00000000-0005-0000-0000-000026270000}"/>
    <cellStyle name="Normal 66 2 5" xfId="10055" xr:uid="{00000000-0005-0000-0000-000027270000}"/>
    <cellStyle name="Normal 66 2 5 2" xfId="10056" xr:uid="{00000000-0005-0000-0000-000028270000}"/>
    <cellStyle name="Normal 66 2 6" xfId="10057" xr:uid="{00000000-0005-0000-0000-000029270000}"/>
    <cellStyle name="Normal 66 2 6 2" xfId="10058" xr:uid="{00000000-0005-0000-0000-00002A270000}"/>
    <cellStyle name="Normal 66 2 7" xfId="10059" xr:uid="{00000000-0005-0000-0000-00002B270000}"/>
    <cellStyle name="Normal 66 3" xfId="10060" xr:uid="{00000000-0005-0000-0000-00002C270000}"/>
    <cellStyle name="Normal 66 3 2" xfId="10061" xr:uid="{00000000-0005-0000-0000-00002D270000}"/>
    <cellStyle name="Normal 66 3 2 2" xfId="10062" xr:uid="{00000000-0005-0000-0000-00002E270000}"/>
    <cellStyle name="Normal 66 3 2 2 2" xfId="10063" xr:uid="{00000000-0005-0000-0000-00002F270000}"/>
    <cellStyle name="Normal 66 3 2 3" xfId="10064" xr:uid="{00000000-0005-0000-0000-000030270000}"/>
    <cellStyle name="Normal 66 3 2 3 2" xfId="10065" xr:uid="{00000000-0005-0000-0000-000031270000}"/>
    <cellStyle name="Normal 66 3 2 4" xfId="10066" xr:uid="{00000000-0005-0000-0000-000032270000}"/>
    <cellStyle name="Normal 66 3 3" xfId="10067" xr:uid="{00000000-0005-0000-0000-000033270000}"/>
    <cellStyle name="Normal 66 3 3 2" xfId="10068" xr:uid="{00000000-0005-0000-0000-000034270000}"/>
    <cellStyle name="Normal 66 3 3 2 2" xfId="10069" xr:uid="{00000000-0005-0000-0000-000035270000}"/>
    <cellStyle name="Normal 66 3 3 3" xfId="10070" xr:uid="{00000000-0005-0000-0000-000036270000}"/>
    <cellStyle name="Normal 66 3 4" xfId="10071" xr:uid="{00000000-0005-0000-0000-000037270000}"/>
    <cellStyle name="Normal 66 3 4 2" xfId="10072" xr:uid="{00000000-0005-0000-0000-000038270000}"/>
    <cellStyle name="Normal 66 3 5" xfId="10073" xr:uid="{00000000-0005-0000-0000-000039270000}"/>
    <cellStyle name="Normal 66 3 5 2" xfId="10074" xr:uid="{00000000-0005-0000-0000-00003A270000}"/>
    <cellStyle name="Normal 66 3 6" xfId="10075" xr:uid="{00000000-0005-0000-0000-00003B270000}"/>
    <cellStyle name="Normal 66 4" xfId="10076" xr:uid="{00000000-0005-0000-0000-00003C270000}"/>
    <cellStyle name="Normal 66 4 2" xfId="10077" xr:uid="{00000000-0005-0000-0000-00003D270000}"/>
    <cellStyle name="Normal 66 4 2 2" xfId="10078" xr:uid="{00000000-0005-0000-0000-00003E270000}"/>
    <cellStyle name="Normal 66 4 3" xfId="10079" xr:uid="{00000000-0005-0000-0000-00003F270000}"/>
    <cellStyle name="Normal 66 4 3 2" xfId="10080" xr:uid="{00000000-0005-0000-0000-000040270000}"/>
    <cellStyle name="Normal 66 4 4" xfId="10081" xr:uid="{00000000-0005-0000-0000-000041270000}"/>
    <cellStyle name="Normal 66 5" xfId="10082" xr:uid="{00000000-0005-0000-0000-000042270000}"/>
    <cellStyle name="Normal 66 5 2" xfId="10083" xr:uid="{00000000-0005-0000-0000-000043270000}"/>
    <cellStyle name="Normal 66 5 2 2" xfId="10084" xr:uid="{00000000-0005-0000-0000-000044270000}"/>
    <cellStyle name="Normal 66 5 3" xfId="10085" xr:uid="{00000000-0005-0000-0000-000045270000}"/>
    <cellStyle name="Normal 66 6" xfId="10086" xr:uid="{00000000-0005-0000-0000-000046270000}"/>
    <cellStyle name="Normal 66 6 2" xfId="10087" xr:uid="{00000000-0005-0000-0000-000047270000}"/>
    <cellStyle name="Normal 66 7" xfId="10088" xr:uid="{00000000-0005-0000-0000-000048270000}"/>
    <cellStyle name="Normal 66 7 2" xfId="10089" xr:uid="{00000000-0005-0000-0000-000049270000}"/>
    <cellStyle name="Normal 66 8" xfId="10090" xr:uid="{00000000-0005-0000-0000-00004A270000}"/>
    <cellStyle name="Normal 67" xfId="10091" xr:uid="{00000000-0005-0000-0000-00004B270000}"/>
    <cellStyle name="Normal 67 2" xfId="10092" xr:uid="{00000000-0005-0000-0000-00004C270000}"/>
    <cellStyle name="Normal 67 2 2" xfId="10093" xr:uid="{00000000-0005-0000-0000-00004D270000}"/>
    <cellStyle name="Normal 67 3" xfId="10094" xr:uid="{00000000-0005-0000-0000-00004E270000}"/>
    <cellStyle name="Normal 67 3 2" xfId="10095" xr:uid="{00000000-0005-0000-0000-00004F270000}"/>
    <cellStyle name="Normal 67 3 2 2" xfId="10096" xr:uid="{00000000-0005-0000-0000-000050270000}"/>
    <cellStyle name="Normal 67 3 2 2 2" xfId="10097" xr:uid="{00000000-0005-0000-0000-000051270000}"/>
    <cellStyle name="Normal 67 3 2 2 2 2" xfId="10098" xr:uid="{00000000-0005-0000-0000-000052270000}"/>
    <cellStyle name="Normal 67 3 2 2 3" xfId="10099" xr:uid="{00000000-0005-0000-0000-000053270000}"/>
    <cellStyle name="Normal 67 3 2 2 3 2" xfId="10100" xr:uid="{00000000-0005-0000-0000-000054270000}"/>
    <cellStyle name="Normal 67 3 2 2 4" xfId="10101" xr:uid="{00000000-0005-0000-0000-000055270000}"/>
    <cellStyle name="Normal 67 3 2 3" xfId="10102" xr:uid="{00000000-0005-0000-0000-000056270000}"/>
    <cellStyle name="Normal 67 3 2 3 2" xfId="10103" xr:uid="{00000000-0005-0000-0000-000057270000}"/>
    <cellStyle name="Normal 67 3 2 3 2 2" xfId="10104" xr:uid="{00000000-0005-0000-0000-000058270000}"/>
    <cellStyle name="Normal 67 3 2 3 3" xfId="10105" xr:uid="{00000000-0005-0000-0000-000059270000}"/>
    <cellStyle name="Normal 67 3 2 4" xfId="10106" xr:uid="{00000000-0005-0000-0000-00005A270000}"/>
    <cellStyle name="Normal 67 3 2 4 2" xfId="10107" xr:uid="{00000000-0005-0000-0000-00005B270000}"/>
    <cellStyle name="Normal 67 3 2 5" xfId="10108" xr:uid="{00000000-0005-0000-0000-00005C270000}"/>
    <cellStyle name="Normal 67 3 2 5 2" xfId="10109" xr:uid="{00000000-0005-0000-0000-00005D270000}"/>
    <cellStyle name="Normal 67 3 2 6" xfId="10110" xr:uid="{00000000-0005-0000-0000-00005E270000}"/>
    <cellStyle name="Normal 67 3 3" xfId="10111" xr:uid="{00000000-0005-0000-0000-00005F270000}"/>
    <cellStyle name="Normal 67 3 3 2" xfId="10112" xr:uid="{00000000-0005-0000-0000-000060270000}"/>
    <cellStyle name="Normal 67 3 3 2 2" xfId="10113" xr:uid="{00000000-0005-0000-0000-000061270000}"/>
    <cellStyle name="Normal 67 3 3 3" xfId="10114" xr:uid="{00000000-0005-0000-0000-000062270000}"/>
    <cellStyle name="Normal 67 3 3 3 2" xfId="10115" xr:uid="{00000000-0005-0000-0000-000063270000}"/>
    <cellStyle name="Normal 67 3 3 4" xfId="10116" xr:uid="{00000000-0005-0000-0000-000064270000}"/>
    <cellStyle name="Normal 67 3 4" xfId="10117" xr:uid="{00000000-0005-0000-0000-000065270000}"/>
    <cellStyle name="Normal 67 3 4 2" xfId="10118" xr:uid="{00000000-0005-0000-0000-000066270000}"/>
    <cellStyle name="Normal 67 3 4 2 2" xfId="10119" xr:uid="{00000000-0005-0000-0000-000067270000}"/>
    <cellStyle name="Normal 67 3 4 3" xfId="10120" xr:uid="{00000000-0005-0000-0000-000068270000}"/>
    <cellStyle name="Normal 67 3 5" xfId="10121" xr:uid="{00000000-0005-0000-0000-000069270000}"/>
    <cellStyle name="Normal 67 3 5 2" xfId="10122" xr:uid="{00000000-0005-0000-0000-00006A270000}"/>
    <cellStyle name="Normal 67 3 6" xfId="10123" xr:uid="{00000000-0005-0000-0000-00006B270000}"/>
    <cellStyle name="Normal 67 3 6 2" xfId="10124" xr:uid="{00000000-0005-0000-0000-00006C270000}"/>
    <cellStyle name="Normal 67 3 7" xfId="10125" xr:uid="{00000000-0005-0000-0000-00006D270000}"/>
    <cellStyle name="Normal 67 4" xfId="10126" xr:uid="{00000000-0005-0000-0000-00006E270000}"/>
    <cellStyle name="Normal 67 4 2" xfId="10127" xr:uid="{00000000-0005-0000-0000-00006F270000}"/>
    <cellStyle name="Normal 67 4 2 2" xfId="10128" xr:uid="{00000000-0005-0000-0000-000070270000}"/>
    <cellStyle name="Normal 67 4 2 2 2" xfId="10129" xr:uid="{00000000-0005-0000-0000-000071270000}"/>
    <cellStyle name="Normal 67 4 2 3" xfId="10130" xr:uid="{00000000-0005-0000-0000-000072270000}"/>
    <cellStyle name="Normal 67 4 2 3 2" xfId="10131" xr:uid="{00000000-0005-0000-0000-000073270000}"/>
    <cellStyle name="Normal 67 4 2 4" xfId="10132" xr:uid="{00000000-0005-0000-0000-000074270000}"/>
    <cellStyle name="Normal 67 4 3" xfId="10133" xr:uid="{00000000-0005-0000-0000-000075270000}"/>
    <cellStyle name="Normal 67 4 3 2" xfId="10134" xr:uid="{00000000-0005-0000-0000-000076270000}"/>
    <cellStyle name="Normal 67 4 3 2 2" xfId="10135" xr:uid="{00000000-0005-0000-0000-000077270000}"/>
    <cellStyle name="Normal 67 4 3 3" xfId="10136" xr:uid="{00000000-0005-0000-0000-000078270000}"/>
    <cellStyle name="Normal 67 4 4" xfId="10137" xr:uid="{00000000-0005-0000-0000-000079270000}"/>
    <cellStyle name="Normal 67 4 4 2" xfId="10138" xr:uid="{00000000-0005-0000-0000-00007A270000}"/>
    <cellStyle name="Normal 67 4 5" xfId="10139" xr:uid="{00000000-0005-0000-0000-00007B270000}"/>
    <cellStyle name="Normal 67 4 5 2" xfId="10140" xr:uid="{00000000-0005-0000-0000-00007C270000}"/>
    <cellStyle name="Normal 67 4 6" xfId="10141" xr:uid="{00000000-0005-0000-0000-00007D270000}"/>
    <cellStyle name="Normal 67 5" xfId="10142" xr:uid="{00000000-0005-0000-0000-00007E270000}"/>
    <cellStyle name="Normal 67 5 2" xfId="10143" xr:uid="{00000000-0005-0000-0000-00007F270000}"/>
    <cellStyle name="Normal 67 5 2 2" xfId="10144" xr:uid="{00000000-0005-0000-0000-000080270000}"/>
    <cellStyle name="Normal 67 5 3" xfId="10145" xr:uid="{00000000-0005-0000-0000-000081270000}"/>
    <cellStyle name="Normal 67 5 3 2" xfId="10146" xr:uid="{00000000-0005-0000-0000-000082270000}"/>
    <cellStyle name="Normal 67 5 4" xfId="10147" xr:uid="{00000000-0005-0000-0000-000083270000}"/>
    <cellStyle name="Normal 67 6" xfId="10148" xr:uid="{00000000-0005-0000-0000-000084270000}"/>
    <cellStyle name="Normal 67 6 2" xfId="10149" xr:uid="{00000000-0005-0000-0000-000085270000}"/>
    <cellStyle name="Normal 67 6 2 2" xfId="10150" xr:uid="{00000000-0005-0000-0000-000086270000}"/>
    <cellStyle name="Normal 67 6 3" xfId="10151" xr:uid="{00000000-0005-0000-0000-000087270000}"/>
    <cellStyle name="Normal 67 7" xfId="10152" xr:uid="{00000000-0005-0000-0000-000088270000}"/>
    <cellStyle name="Normal 67 7 2" xfId="10153" xr:uid="{00000000-0005-0000-0000-000089270000}"/>
    <cellStyle name="Normal 67 8" xfId="10154" xr:uid="{00000000-0005-0000-0000-00008A270000}"/>
    <cellStyle name="Normal 67 8 2" xfId="10155" xr:uid="{00000000-0005-0000-0000-00008B270000}"/>
    <cellStyle name="Normal 67 9" xfId="10156" xr:uid="{00000000-0005-0000-0000-00008C270000}"/>
    <cellStyle name="Normal 68" xfId="10157" xr:uid="{00000000-0005-0000-0000-00008D270000}"/>
    <cellStyle name="Normal 68 2" xfId="10158" xr:uid="{00000000-0005-0000-0000-00008E270000}"/>
    <cellStyle name="Normal 68 2 2" xfId="10159" xr:uid="{00000000-0005-0000-0000-00008F270000}"/>
    <cellStyle name="Normal 68 2 2 2" xfId="10160" xr:uid="{00000000-0005-0000-0000-000090270000}"/>
    <cellStyle name="Normal 68 2 2 2 2" xfId="10161" xr:uid="{00000000-0005-0000-0000-000091270000}"/>
    <cellStyle name="Normal 68 2 2 2 2 2" xfId="10162" xr:uid="{00000000-0005-0000-0000-000092270000}"/>
    <cellStyle name="Normal 68 2 2 2 3" xfId="10163" xr:uid="{00000000-0005-0000-0000-000093270000}"/>
    <cellStyle name="Normal 68 2 2 2 3 2" xfId="10164" xr:uid="{00000000-0005-0000-0000-000094270000}"/>
    <cellStyle name="Normal 68 2 2 2 4" xfId="10165" xr:uid="{00000000-0005-0000-0000-000095270000}"/>
    <cellStyle name="Normal 68 2 2 3" xfId="10166" xr:uid="{00000000-0005-0000-0000-000096270000}"/>
    <cellStyle name="Normal 68 2 2 3 2" xfId="10167" xr:uid="{00000000-0005-0000-0000-000097270000}"/>
    <cellStyle name="Normal 68 2 2 3 2 2" xfId="10168" xr:uid="{00000000-0005-0000-0000-000098270000}"/>
    <cellStyle name="Normal 68 2 2 3 3" xfId="10169" xr:uid="{00000000-0005-0000-0000-000099270000}"/>
    <cellStyle name="Normal 68 2 2 4" xfId="10170" xr:uid="{00000000-0005-0000-0000-00009A270000}"/>
    <cellStyle name="Normal 68 2 2 4 2" xfId="10171" xr:uid="{00000000-0005-0000-0000-00009B270000}"/>
    <cellStyle name="Normal 68 2 2 5" xfId="10172" xr:uid="{00000000-0005-0000-0000-00009C270000}"/>
    <cellStyle name="Normal 68 2 2 5 2" xfId="10173" xr:uid="{00000000-0005-0000-0000-00009D270000}"/>
    <cellStyle name="Normal 68 2 2 6" xfId="10174" xr:uid="{00000000-0005-0000-0000-00009E270000}"/>
    <cellStyle name="Normal 68 2 3" xfId="10175" xr:uid="{00000000-0005-0000-0000-00009F270000}"/>
    <cellStyle name="Normal 68 2 3 2" xfId="10176" xr:uid="{00000000-0005-0000-0000-0000A0270000}"/>
    <cellStyle name="Normal 68 2 3 2 2" xfId="10177" xr:uid="{00000000-0005-0000-0000-0000A1270000}"/>
    <cellStyle name="Normal 68 2 3 3" xfId="10178" xr:uid="{00000000-0005-0000-0000-0000A2270000}"/>
    <cellStyle name="Normal 68 2 3 3 2" xfId="10179" xr:uid="{00000000-0005-0000-0000-0000A3270000}"/>
    <cellStyle name="Normal 68 2 3 4" xfId="10180" xr:uid="{00000000-0005-0000-0000-0000A4270000}"/>
    <cellStyle name="Normal 68 2 4" xfId="10181" xr:uid="{00000000-0005-0000-0000-0000A5270000}"/>
    <cellStyle name="Normal 68 2 4 2" xfId="10182" xr:uid="{00000000-0005-0000-0000-0000A6270000}"/>
    <cellStyle name="Normal 68 2 4 2 2" xfId="10183" xr:uid="{00000000-0005-0000-0000-0000A7270000}"/>
    <cellStyle name="Normal 68 2 4 3" xfId="10184" xr:uid="{00000000-0005-0000-0000-0000A8270000}"/>
    <cellStyle name="Normal 68 2 5" xfId="10185" xr:uid="{00000000-0005-0000-0000-0000A9270000}"/>
    <cellStyle name="Normal 68 2 5 2" xfId="10186" xr:uid="{00000000-0005-0000-0000-0000AA270000}"/>
    <cellStyle name="Normal 68 2 6" xfId="10187" xr:uid="{00000000-0005-0000-0000-0000AB270000}"/>
    <cellStyle name="Normal 68 2 6 2" xfId="10188" xr:uid="{00000000-0005-0000-0000-0000AC270000}"/>
    <cellStyle name="Normal 68 2 7" xfId="10189" xr:uid="{00000000-0005-0000-0000-0000AD270000}"/>
    <cellStyle name="Normal 68 3" xfId="10190" xr:uid="{00000000-0005-0000-0000-0000AE270000}"/>
    <cellStyle name="Normal 68 3 2" xfId="10191" xr:uid="{00000000-0005-0000-0000-0000AF270000}"/>
    <cellStyle name="Normal 68 3 2 2" xfId="10192" xr:uid="{00000000-0005-0000-0000-0000B0270000}"/>
    <cellStyle name="Normal 68 3 2 2 2" xfId="10193" xr:uid="{00000000-0005-0000-0000-0000B1270000}"/>
    <cellStyle name="Normal 68 3 2 3" xfId="10194" xr:uid="{00000000-0005-0000-0000-0000B2270000}"/>
    <cellStyle name="Normal 68 3 2 3 2" xfId="10195" xr:uid="{00000000-0005-0000-0000-0000B3270000}"/>
    <cellStyle name="Normal 68 3 2 4" xfId="10196" xr:uid="{00000000-0005-0000-0000-0000B4270000}"/>
    <cellStyle name="Normal 68 3 3" xfId="10197" xr:uid="{00000000-0005-0000-0000-0000B5270000}"/>
    <cellStyle name="Normal 68 3 3 2" xfId="10198" xr:uid="{00000000-0005-0000-0000-0000B6270000}"/>
    <cellStyle name="Normal 68 3 3 2 2" xfId="10199" xr:uid="{00000000-0005-0000-0000-0000B7270000}"/>
    <cellStyle name="Normal 68 3 3 3" xfId="10200" xr:uid="{00000000-0005-0000-0000-0000B8270000}"/>
    <cellStyle name="Normal 68 3 4" xfId="10201" xr:uid="{00000000-0005-0000-0000-0000B9270000}"/>
    <cellStyle name="Normal 68 3 4 2" xfId="10202" xr:uid="{00000000-0005-0000-0000-0000BA270000}"/>
    <cellStyle name="Normal 68 3 5" xfId="10203" xr:uid="{00000000-0005-0000-0000-0000BB270000}"/>
    <cellStyle name="Normal 68 3 5 2" xfId="10204" xr:uid="{00000000-0005-0000-0000-0000BC270000}"/>
    <cellStyle name="Normal 68 3 6" xfId="10205" xr:uid="{00000000-0005-0000-0000-0000BD270000}"/>
    <cellStyle name="Normal 68 4" xfId="10206" xr:uid="{00000000-0005-0000-0000-0000BE270000}"/>
    <cellStyle name="Normal 68 4 2" xfId="10207" xr:uid="{00000000-0005-0000-0000-0000BF270000}"/>
    <cellStyle name="Normal 68 4 2 2" xfId="10208" xr:uid="{00000000-0005-0000-0000-0000C0270000}"/>
    <cellStyle name="Normal 68 4 3" xfId="10209" xr:uid="{00000000-0005-0000-0000-0000C1270000}"/>
    <cellStyle name="Normal 68 4 3 2" xfId="10210" xr:uid="{00000000-0005-0000-0000-0000C2270000}"/>
    <cellStyle name="Normal 68 4 4" xfId="10211" xr:uid="{00000000-0005-0000-0000-0000C3270000}"/>
    <cellStyle name="Normal 68 5" xfId="10212" xr:uid="{00000000-0005-0000-0000-0000C4270000}"/>
    <cellStyle name="Normal 68 5 2" xfId="10213" xr:uid="{00000000-0005-0000-0000-0000C5270000}"/>
    <cellStyle name="Normal 68 5 2 2" xfId="10214" xr:uid="{00000000-0005-0000-0000-0000C6270000}"/>
    <cellStyle name="Normal 68 5 3" xfId="10215" xr:uid="{00000000-0005-0000-0000-0000C7270000}"/>
    <cellStyle name="Normal 68 6" xfId="10216" xr:uid="{00000000-0005-0000-0000-0000C8270000}"/>
    <cellStyle name="Normal 68 6 2" xfId="10217" xr:uid="{00000000-0005-0000-0000-0000C9270000}"/>
    <cellStyle name="Normal 68 7" xfId="10218" xr:uid="{00000000-0005-0000-0000-0000CA270000}"/>
    <cellStyle name="Normal 68 7 2" xfId="10219" xr:uid="{00000000-0005-0000-0000-0000CB270000}"/>
    <cellStyle name="Normal 68 8" xfId="10220" xr:uid="{00000000-0005-0000-0000-0000CC270000}"/>
    <cellStyle name="Normal 69" xfId="10221" xr:uid="{00000000-0005-0000-0000-0000CD270000}"/>
    <cellStyle name="Normal 69 2" xfId="10222" xr:uid="{00000000-0005-0000-0000-0000CE270000}"/>
    <cellStyle name="Normal 69 2 2" xfId="10223" xr:uid="{00000000-0005-0000-0000-0000CF270000}"/>
    <cellStyle name="Normal 69 2 2 2" xfId="10224" xr:uid="{00000000-0005-0000-0000-0000D0270000}"/>
    <cellStyle name="Normal 69 2 2 2 2" xfId="10225" xr:uid="{00000000-0005-0000-0000-0000D1270000}"/>
    <cellStyle name="Normal 69 2 2 2 2 2" xfId="10226" xr:uid="{00000000-0005-0000-0000-0000D2270000}"/>
    <cellStyle name="Normal 69 2 2 2 3" xfId="10227" xr:uid="{00000000-0005-0000-0000-0000D3270000}"/>
    <cellStyle name="Normal 69 2 2 2 3 2" xfId="10228" xr:uid="{00000000-0005-0000-0000-0000D4270000}"/>
    <cellStyle name="Normal 69 2 2 2 4" xfId="10229" xr:uid="{00000000-0005-0000-0000-0000D5270000}"/>
    <cellStyle name="Normal 69 2 2 3" xfId="10230" xr:uid="{00000000-0005-0000-0000-0000D6270000}"/>
    <cellStyle name="Normal 69 2 2 3 2" xfId="10231" xr:uid="{00000000-0005-0000-0000-0000D7270000}"/>
    <cellStyle name="Normal 69 2 2 3 2 2" xfId="10232" xr:uid="{00000000-0005-0000-0000-0000D8270000}"/>
    <cellStyle name="Normal 69 2 2 3 3" xfId="10233" xr:uid="{00000000-0005-0000-0000-0000D9270000}"/>
    <cellStyle name="Normal 69 2 2 4" xfId="10234" xr:uid="{00000000-0005-0000-0000-0000DA270000}"/>
    <cellStyle name="Normal 69 2 2 4 2" xfId="10235" xr:uid="{00000000-0005-0000-0000-0000DB270000}"/>
    <cellStyle name="Normal 69 2 2 5" xfId="10236" xr:uid="{00000000-0005-0000-0000-0000DC270000}"/>
    <cellStyle name="Normal 69 2 2 5 2" xfId="10237" xr:uid="{00000000-0005-0000-0000-0000DD270000}"/>
    <cellStyle name="Normal 69 2 2 6" xfId="10238" xr:uid="{00000000-0005-0000-0000-0000DE270000}"/>
    <cellStyle name="Normal 69 2 3" xfId="10239" xr:uid="{00000000-0005-0000-0000-0000DF270000}"/>
    <cellStyle name="Normal 69 2 3 2" xfId="10240" xr:uid="{00000000-0005-0000-0000-0000E0270000}"/>
    <cellStyle name="Normal 69 2 3 2 2" xfId="10241" xr:uid="{00000000-0005-0000-0000-0000E1270000}"/>
    <cellStyle name="Normal 69 2 3 3" xfId="10242" xr:uid="{00000000-0005-0000-0000-0000E2270000}"/>
    <cellStyle name="Normal 69 2 3 3 2" xfId="10243" xr:uid="{00000000-0005-0000-0000-0000E3270000}"/>
    <cellStyle name="Normal 69 2 3 4" xfId="10244" xr:uid="{00000000-0005-0000-0000-0000E4270000}"/>
    <cellStyle name="Normal 69 2 4" xfId="10245" xr:uid="{00000000-0005-0000-0000-0000E5270000}"/>
    <cellStyle name="Normal 69 2 4 2" xfId="10246" xr:uid="{00000000-0005-0000-0000-0000E6270000}"/>
    <cellStyle name="Normal 69 2 4 2 2" xfId="10247" xr:uid="{00000000-0005-0000-0000-0000E7270000}"/>
    <cellStyle name="Normal 69 2 4 3" xfId="10248" xr:uid="{00000000-0005-0000-0000-0000E8270000}"/>
    <cellStyle name="Normal 69 2 5" xfId="10249" xr:uid="{00000000-0005-0000-0000-0000E9270000}"/>
    <cellStyle name="Normal 69 2 5 2" xfId="10250" xr:uid="{00000000-0005-0000-0000-0000EA270000}"/>
    <cellStyle name="Normal 69 2 6" xfId="10251" xr:uid="{00000000-0005-0000-0000-0000EB270000}"/>
    <cellStyle name="Normal 69 2 6 2" xfId="10252" xr:uid="{00000000-0005-0000-0000-0000EC270000}"/>
    <cellStyle name="Normal 69 2 7" xfId="10253" xr:uid="{00000000-0005-0000-0000-0000ED270000}"/>
    <cellStyle name="Normal 69 3" xfId="10254" xr:uid="{00000000-0005-0000-0000-0000EE270000}"/>
    <cellStyle name="Normal 69 3 2" xfId="10255" xr:uid="{00000000-0005-0000-0000-0000EF270000}"/>
    <cellStyle name="Normal 69 3 2 2" xfId="10256" xr:uid="{00000000-0005-0000-0000-0000F0270000}"/>
    <cellStyle name="Normal 69 3 2 2 2" xfId="10257" xr:uid="{00000000-0005-0000-0000-0000F1270000}"/>
    <cellStyle name="Normal 69 3 2 3" xfId="10258" xr:uid="{00000000-0005-0000-0000-0000F2270000}"/>
    <cellStyle name="Normal 69 3 2 3 2" xfId="10259" xr:uid="{00000000-0005-0000-0000-0000F3270000}"/>
    <cellStyle name="Normal 69 3 2 4" xfId="10260" xr:uid="{00000000-0005-0000-0000-0000F4270000}"/>
    <cellStyle name="Normal 69 3 3" xfId="10261" xr:uid="{00000000-0005-0000-0000-0000F5270000}"/>
    <cellStyle name="Normal 69 3 3 2" xfId="10262" xr:uid="{00000000-0005-0000-0000-0000F6270000}"/>
    <cellStyle name="Normal 69 3 3 2 2" xfId="10263" xr:uid="{00000000-0005-0000-0000-0000F7270000}"/>
    <cellStyle name="Normal 69 3 3 3" xfId="10264" xr:uid="{00000000-0005-0000-0000-0000F8270000}"/>
    <cellStyle name="Normal 69 3 4" xfId="10265" xr:uid="{00000000-0005-0000-0000-0000F9270000}"/>
    <cellStyle name="Normal 69 3 4 2" xfId="10266" xr:uid="{00000000-0005-0000-0000-0000FA270000}"/>
    <cellStyle name="Normal 69 3 5" xfId="10267" xr:uid="{00000000-0005-0000-0000-0000FB270000}"/>
    <cellStyle name="Normal 69 3 5 2" xfId="10268" xr:uid="{00000000-0005-0000-0000-0000FC270000}"/>
    <cellStyle name="Normal 69 3 6" xfId="10269" xr:uid="{00000000-0005-0000-0000-0000FD270000}"/>
    <cellStyle name="Normal 69 4" xfId="10270" xr:uid="{00000000-0005-0000-0000-0000FE270000}"/>
    <cellStyle name="Normal 69 4 2" xfId="10271" xr:uid="{00000000-0005-0000-0000-0000FF270000}"/>
    <cellStyle name="Normal 69 4 2 2" xfId="10272" xr:uid="{00000000-0005-0000-0000-000000280000}"/>
    <cellStyle name="Normal 69 4 3" xfId="10273" xr:uid="{00000000-0005-0000-0000-000001280000}"/>
    <cellStyle name="Normal 69 4 3 2" xfId="10274" xr:uid="{00000000-0005-0000-0000-000002280000}"/>
    <cellStyle name="Normal 69 4 4" xfId="10275" xr:uid="{00000000-0005-0000-0000-000003280000}"/>
    <cellStyle name="Normal 69 5" xfId="10276" xr:uid="{00000000-0005-0000-0000-000004280000}"/>
    <cellStyle name="Normal 69 5 2" xfId="10277" xr:uid="{00000000-0005-0000-0000-000005280000}"/>
    <cellStyle name="Normal 69 5 2 2" xfId="10278" xr:uid="{00000000-0005-0000-0000-000006280000}"/>
    <cellStyle name="Normal 69 5 3" xfId="10279" xr:uid="{00000000-0005-0000-0000-000007280000}"/>
    <cellStyle name="Normal 69 6" xfId="10280" xr:uid="{00000000-0005-0000-0000-000008280000}"/>
    <cellStyle name="Normal 69 6 2" xfId="10281" xr:uid="{00000000-0005-0000-0000-000009280000}"/>
    <cellStyle name="Normal 69 7" xfId="10282" xr:uid="{00000000-0005-0000-0000-00000A280000}"/>
    <cellStyle name="Normal 69 7 2" xfId="10283" xr:uid="{00000000-0005-0000-0000-00000B280000}"/>
    <cellStyle name="Normal 69 8" xfId="10284" xr:uid="{00000000-0005-0000-0000-00000C280000}"/>
    <cellStyle name="Normal 7" xfId="206" xr:uid="{00000000-0005-0000-0000-00000D280000}"/>
    <cellStyle name="Normal 7 2" xfId="10285" xr:uid="{00000000-0005-0000-0000-00000E280000}"/>
    <cellStyle name="Normal 7 2 2" xfId="10286" xr:uid="{00000000-0005-0000-0000-00000F280000}"/>
    <cellStyle name="Normal 7 2 2 2" xfId="10287" xr:uid="{00000000-0005-0000-0000-000010280000}"/>
    <cellStyle name="Normal 7 2 3" xfId="10288" xr:uid="{00000000-0005-0000-0000-000011280000}"/>
    <cellStyle name="Normal 7 3" xfId="10289" xr:uid="{00000000-0005-0000-0000-000012280000}"/>
    <cellStyle name="Normal 7 3 2" xfId="10290" xr:uid="{00000000-0005-0000-0000-000013280000}"/>
    <cellStyle name="Normal 7 4" xfId="10291" xr:uid="{00000000-0005-0000-0000-000014280000}"/>
    <cellStyle name="Normal 7 4 2" xfId="10292" xr:uid="{00000000-0005-0000-0000-000015280000}"/>
    <cellStyle name="Normal 7 5" xfId="10293" xr:uid="{00000000-0005-0000-0000-000016280000}"/>
    <cellStyle name="Normal 7 5 2" xfId="10294" xr:uid="{00000000-0005-0000-0000-000017280000}"/>
    <cellStyle name="Normal 7 5 2 2" xfId="10295" xr:uid="{00000000-0005-0000-0000-000018280000}"/>
    <cellStyle name="Normal 7 5 3" xfId="10296" xr:uid="{00000000-0005-0000-0000-000019280000}"/>
    <cellStyle name="Normal 7 6" xfId="10297" xr:uid="{00000000-0005-0000-0000-00001A280000}"/>
    <cellStyle name="Normal 70" xfId="10298" xr:uid="{00000000-0005-0000-0000-00001B280000}"/>
    <cellStyle name="Normal 70 2" xfId="10299" xr:uid="{00000000-0005-0000-0000-00001C280000}"/>
    <cellStyle name="Normal 70 2 2" xfId="10300" xr:uid="{00000000-0005-0000-0000-00001D280000}"/>
    <cellStyle name="Normal 70 2 2 2" xfId="10301" xr:uid="{00000000-0005-0000-0000-00001E280000}"/>
    <cellStyle name="Normal 70 2 2 2 2" xfId="10302" xr:uid="{00000000-0005-0000-0000-00001F280000}"/>
    <cellStyle name="Normal 70 2 2 2 2 2" xfId="10303" xr:uid="{00000000-0005-0000-0000-000020280000}"/>
    <cellStyle name="Normal 70 2 2 2 3" xfId="10304" xr:uid="{00000000-0005-0000-0000-000021280000}"/>
    <cellStyle name="Normal 70 2 2 2 3 2" xfId="10305" xr:uid="{00000000-0005-0000-0000-000022280000}"/>
    <cellStyle name="Normal 70 2 2 2 4" xfId="10306" xr:uid="{00000000-0005-0000-0000-000023280000}"/>
    <cellStyle name="Normal 70 2 2 3" xfId="10307" xr:uid="{00000000-0005-0000-0000-000024280000}"/>
    <cellStyle name="Normal 70 2 2 3 2" xfId="10308" xr:uid="{00000000-0005-0000-0000-000025280000}"/>
    <cellStyle name="Normal 70 2 2 3 2 2" xfId="10309" xr:uid="{00000000-0005-0000-0000-000026280000}"/>
    <cellStyle name="Normal 70 2 2 3 3" xfId="10310" xr:uid="{00000000-0005-0000-0000-000027280000}"/>
    <cellStyle name="Normal 70 2 2 4" xfId="10311" xr:uid="{00000000-0005-0000-0000-000028280000}"/>
    <cellStyle name="Normal 70 2 2 4 2" xfId="10312" xr:uid="{00000000-0005-0000-0000-000029280000}"/>
    <cellStyle name="Normal 70 2 2 5" xfId="10313" xr:uid="{00000000-0005-0000-0000-00002A280000}"/>
    <cellStyle name="Normal 70 2 2 5 2" xfId="10314" xr:uid="{00000000-0005-0000-0000-00002B280000}"/>
    <cellStyle name="Normal 70 2 2 6" xfId="10315" xr:uid="{00000000-0005-0000-0000-00002C280000}"/>
    <cellStyle name="Normal 70 2 3" xfId="10316" xr:uid="{00000000-0005-0000-0000-00002D280000}"/>
    <cellStyle name="Normal 70 2 3 2" xfId="10317" xr:uid="{00000000-0005-0000-0000-00002E280000}"/>
    <cellStyle name="Normal 70 2 3 2 2" xfId="10318" xr:uid="{00000000-0005-0000-0000-00002F280000}"/>
    <cellStyle name="Normal 70 2 3 3" xfId="10319" xr:uid="{00000000-0005-0000-0000-000030280000}"/>
    <cellStyle name="Normal 70 2 3 3 2" xfId="10320" xr:uid="{00000000-0005-0000-0000-000031280000}"/>
    <cellStyle name="Normal 70 2 3 4" xfId="10321" xr:uid="{00000000-0005-0000-0000-000032280000}"/>
    <cellStyle name="Normal 70 2 4" xfId="10322" xr:uid="{00000000-0005-0000-0000-000033280000}"/>
    <cellStyle name="Normal 70 2 4 2" xfId="10323" xr:uid="{00000000-0005-0000-0000-000034280000}"/>
    <cellStyle name="Normal 70 2 4 2 2" xfId="10324" xr:uid="{00000000-0005-0000-0000-000035280000}"/>
    <cellStyle name="Normal 70 2 4 3" xfId="10325" xr:uid="{00000000-0005-0000-0000-000036280000}"/>
    <cellStyle name="Normal 70 2 5" xfId="10326" xr:uid="{00000000-0005-0000-0000-000037280000}"/>
    <cellStyle name="Normal 70 2 5 2" xfId="10327" xr:uid="{00000000-0005-0000-0000-000038280000}"/>
    <cellStyle name="Normal 70 2 6" xfId="10328" xr:uid="{00000000-0005-0000-0000-000039280000}"/>
    <cellStyle name="Normal 70 2 6 2" xfId="10329" xr:uid="{00000000-0005-0000-0000-00003A280000}"/>
    <cellStyle name="Normal 70 2 7" xfId="10330" xr:uid="{00000000-0005-0000-0000-00003B280000}"/>
    <cellStyle name="Normal 70 3" xfId="10331" xr:uid="{00000000-0005-0000-0000-00003C280000}"/>
    <cellStyle name="Normal 70 3 2" xfId="10332" xr:uid="{00000000-0005-0000-0000-00003D280000}"/>
    <cellStyle name="Normal 70 3 2 2" xfId="10333" xr:uid="{00000000-0005-0000-0000-00003E280000}"/>
    <cellStyle name="Normal 70 3 2 2 2" xfId="10334" xr:uid="{00000000-0005-0000-0000-00003F280000}"/>
    <cellStyle name="Normal 70 3 2 3" xfId="10335" xr:uid="{00000000-0005-0000-0000-000040280000}"/>
    <cellStyle name="Normal 70 3 2 3 2" xfId="10336" xr:uid="{00000000-0005-0000-0000-000041280000}"/>
    <cellStyle name="Normal 70 3 2 4" xfId="10337" xr:uid="{00000000-0005-0000-0000-000042280000}"/>
    <cellStyle name="Normal 70 3 3" xfId="10338" xr:uid="{00000000-0005-0000-0000-000043280000}"/>
    <cellStyle name="Normal 70 3 3 2" xfId="10339" xr:uid="{00000000-0005-0000-0000-000044280000}"/>
    <cellStyle name="Normal 70 3 3 2 2" xfId="10340" xr:uid="{00000000-0005-0000-0000-000045280000}"/>
    <cellStyle name="Normal 70 3 3 3" xfId="10341" xr:uid="{00000000-0005-0000-0000-000046280000}"/>
    <cellStyle name="Normal 70 3 4" xfId="10342" xr:uid="{00000000-0005-0000-0000-000047280000}"/>
    <cellStyle name="Normal 70 3 4 2" xfId="10343" xr:uid="{00000000-0005-0000-0000-000048280000}"/>
    <cellStyle name="Normal 70 3 5" xfId="10344" xr:uid="{00000000-0005-0000-0000-000049280000}"/>
    <cellStyle name="Normal 70 3 5 2" xfId="10345" xr:uid="{00000000-0005-0000-0000-00004A280000}"/>
    <cellStyle name="Normal 70 3 6" xfId="10346" xr:uid="{00000000-0005-0000-0000-00004B280000}"/>
    <cellStyle name="Normal 70 4" xfId="10347" xr:uid="{00000000-0005-0000-0000-00004C280000}"/>
    <cellStyle name="Normal 70 4 2" xfId="10348" xr:uid="{00000000-0005-0000-0000-00004D280000}"/>
    <cellStyle name="Normal 70 4 2 2" xfId="10349" xr:uid="{00000000-0005-0000-0000-00004E280000}"/>
    <cellStyle name="Normal 70 4 3" xfId="10350" xr:uid="{00000000-0005-0000-0000-00004F280000}"/>
    <cellStyle name="Normal 70 4 3 2" xfId="10351" xr:uid="{00000000-0005-0000-0000-000050280000}"/>
    <cellStyle name="Normal 70 4 4" xfId="10352" xr:uid="{00000000-0005-0000-0000-000051280000}"/>
    <cellStyle name="Normal 70 5" xfId="10353" xr:uid="{00000000-0005-0000-0000-000052280000}"/>
    <cellStyle name="Normal 70 5 2" xfId="10354" xr:uid="{00000000-0005-0000-0000-000053280000}"/>
    <cellStyle name="Normal 70 5 2 2" xfId="10355" xr:uid="{00000000-0005-0000-0000-000054280000}"/>
    <cellStyle name="Normal 70 5 3" xfId="10356" xr:uid="{00000000-0005-0000-0000-000055280000}"/>
    <cellStyle name="Normal 70 6" xfId="10357" xr:uid="{00000000-0005-0000-0000-000056280000}"/>
    <cellStyle name="Normal 70 6 2" xfId="10358" xr:uid="{00000000-0005-0000-0000-000057280000}"/>
    <cellStyle name="Normal 70 7" xfId="10359" xr:uid="{00000000-0005-0000-0000-000058280000}"/>
    <cellStyle name="Normal 70 7 2" xfId="10360" xr:uid="{00000000-0005-0000-0000-000059280000}"/>
    <cellStyle name="Normal 70 8" xfId="10361" xr:uid="{00000000-0005-0000-0000-00005A280000}"/>
    <cellStyle name="Normal 71" xfId="10362" xr:uid="{00000000-0005-0000-0000-00005B280000}"/>
    <cellStyle name="Normal 71 2" xfId="10363" xr:uid="{00000000-0005-0000-0000-00005C280000}"/>
    <cellStyle name="Normal 71 2 2" xfId="10364" xr:uid="{00000000-0005-0000-0000-00005D280000}"/>
    <cellStyle name="Normal 71 2 2 2" xfId="10365" xr:uid="{00000000-0005-0000-0000-00005E280000}"/>
    <cellStyle name="Normal 71 2 2 2 2" xfId="10366" xr:uid="{00000000-0005-0000-0000-00005F280000}"/>
    <cellStyle name="Normal 71 2 2 2 2 2" xfId="10367" xr:uid="{00000000-0005-0000-0000-000060280000}"/>
    <cellStyle name="Normal 71 2 2 2 3" xfId="10368" xr:uid="{00000000-0005-0000-0000-000061280000}"/>
    <cellStyle name="Normal 71 2 2 2 3 2" xfId="10369" xr:uid="{00000000-0005-0000-0000-000062280000}"/>
    <cellStyle name="Normal 71 2 2 2 4" xfId="10370" xr:uid="{00000000-0005-0000-0000-000063280000}"/>
    <cellStyle name="Normal 71 2 2 3" xfId="10371" xr:uid="{00000000-0005-0000-0000-000064280000}"/>
    <cellStyle name="Normal 71 2 2 3 2" xfId="10372" xr:uid="{00000000-0005-0000-0000-000065280000}"/>
    <cellStyle name="Normal 71 2 2 3 2 2" xfId="10373" xr:uid="{00000000-0005-0000-0000-000066280000}"/>
    <cellStyle name="Normal 71 2 2 3 3" xfId="10374" xr:uid="{00000000-0005-0000-0000-000067280000}"/>
    <cellStyle name="Normal 71 2 2 4" xfId="10375" xr:uid="{00000000-0005-0000-0000-000068280000}"/>
    <cellStyle name="Normal 71 2 2 4 2" xfId="10376" xr:uid="{00000000-0005-0000-0000-000069280000}"/>
    <cellStyle name="Normal 71 2 2 5" xfId="10377" xr:uid="{00000000-0005-0000-0000-00006A280000}"/>
    <cellStyle name="Normal 71 2 2 5 2" xfId="10378" xr:uid="{00000000-0005-0000-0000-00006B280000}"/>
    <cellStyle name="Normal 71 2 2 6" xfId="10379" xr:uid="{00000000-0005-0000-0000-00006C280000}"/>
    <cellStyle name="Normal 71 2 3" xfId="10380" xr:uid="{00000000-0005-0000-0000-00006D280000}"/>
    <cellStyle name="Normal 71 2 3 2" xfId="10381" xr:uid="{00000000-0005-0000-0000-00006E280000}"/>
    <cellStyle name="Normal 71 2 3 2 2" xfId="10382" xr:uid="{00000000-0005-0000-0000-00006F280000}"/>
    <cellStyle name="Normal 71 2 3 3" xfId="10383" xr:uid="{00000000-0005-0000-0000-000070280000}"/>
    <cellStyle name="Normal 71 2 3 3 2" xfId="10384" xr:uid="{00000000-0005-0000-0000-000071280000}"/>
    <cellStyle name="Normal 71 2 3 4" xfId="10385" xr:uid="{00000000-0005-0000-0000-000072280000}"/>
    <cellStyle name="Normal 71 2 4" xfId="10386" xr:uid="{00000000-0005-0000-0000-000073280000}"/>
    <cellStyle name="Normal 71 2 4 2" xfId="10387" xr:uid="{00000000-0005-0000-0000-000074280000}"/>
    <cellStyle name="Normal 71 2 4 2 2" xfId="10388" xr:uid="{00000000-0005-0000-0000-000075280000}"/>
    <cellStyle name="Normal 71 2 4 3" xfId="10389" xr:uid="{00000000-0005-0000-0000-000076280000}"/>
    <cellStyle name="Normal 71 2 5" xfId="10390" xr:uid="{00000000-0005-0000-0000-000077280000}"/>
    <cellStyle name="Normal 71 2 5 2" xfId="10391" xr:uid="{00000000-0005-0000-0000-000078280000}"/>
    <cellStyle name="Normal 71 2 6" xfId="10392" xr:uid="{00000000-0005-0000-0000-000079280000}"/>
    <cellStyle name="Normal 71 2 6 2" xfId="10393" xr:uid="{00000000-0005-0000-0000-00007A280000}"/>
    <cellStyle name="Normal 71 2 7" xfId="10394" xr:uid="{00000000-0005-0000-0000-00007B280000}"/>
    <cellStyle name="Normal 71 3" xfId="10395" xr:uid="{00000000-0005-0000-0000-00007C280000}"/>
    <cellStyle name="Normal 71 3 2" xfId="10396" xr:uid="{00000000-0005-0000-0000-00007D280000}"/>
    <cellStyle name="Normal 71 3 2 2" xfId="10397" xr:uid="{00000000-0005-0000-0000-00007E280000}"/>
    <cellStyle name="Normal 71 3 2 2 2" xfId="10398" xr:uid="{00000000-0005-0000-0000-00007F280000}"/>
    <cellStyle name="Normal 71 3 2 3" xfId="10399" xr:uid="{00000000-0005-0000-0000-000080280000}"/>
    <cellStyle name="Normal 71 3 2 3 2" xfId="10400" xr:uid="{00000000-0005-0000-0000-000081280000}"/>
    <cellStyle name="Normal 71 3 2 4" xfId="10401" xr:uid="{00000000-0005-0000-0000-000082280000}"/>
    <cellStyle name="Normal 71 3 3" xfId="10402" xr:uid="{00000000-0005-0000-0000-000083280000}"/>
    <cellStyle name="Normal 71 3 3 2" xfId="10403" xr:uid="{00000000-0005-0000-0000-000084280000}"/>
    <cellStyle name="Normal 71 3 3 2 2" xfId="10404" xr:uid="{00000000-0005-0000-0000-000085280000}"/>
    <cellStyle name="Normal 71 3 3 3" xfId="10405" xr:uid="{00000000-0005-0000-0000-000086280000}"/>
    <cellStyle name="Normal 71 3 4" xfId="10406" xr:uid="{00000000-0005-0000-0000-000087280000}"/>
    <cellStyle name="Normal 71 3 4 2" xfId="10407" xr:uid="{00000000-0005-0000-0000-000088280000}"/>
    <cellStyle name="Normal 71 3 5" xfId="10408" xr:uid="{00000000-0005-0000-0000-000089280000}"/>
    <cellStyle name="Normal 71 3 5 2" xfId="10409" xr:uid="{00000000-0005-0000-0000-00008A280000}"/>
    <cellStyle name="Normal 71 3 6" xfId="10410" xr:uid="{00000000-0005-0000-0000-00008B280000}"/>
    <cellStyle name="Normal 71 4" xfId="10411" xr:uid="{00000000-0005-0000-0000-00008C280000}"/>
    <cellStyle name="Normal 71 4 2" xfId="10412" xr:uid="{00000000-0005-0000-0000-00008D280000}"/>
    <cellStyle name="Normal 71 4 2 2" xfId="10413" xr:uid="{00000000-0005-0000-0000-00008E280000}"/>
    <cellStyle name="Normal 71 4 3" xfId="10414" xr:uid="{00000000-0005-0000-0000-00008F280000}"/>
    <cellStyle name="Normal 71 4 3 2" xfId="10415" xr:uid="{00000000-0005-0000-0000-000090280000}"/>
    <cellStyle name="Normal 71 4 4" xfId="10416" xr:uid="{00000000-0005-0000-0000-000091280000}"/>
    <cellStyle name="Normal 71 5" xfId="10417" xr:uid="{00000000-0005-0000-0000-000092280000}"/>
    <cellStyle name="Normal 71 5 2" xfId="10418" xr:uid="{00000000-0005-0000-0000-000093280000}"/>
    <cellStyle name="Normal 71 5 2 2" xfId="10419" xr:uid="{00000000-0005-0000-0000-000094280000}"/>
    <cellStyle name="Normal 71 5 3" xfId="10420" xr:uid="{00000000-0005-0000-0000-000095280000}"/>
    <cellStyle name="Normal 71 6" xfId="10421" xr:uid="{00000000-0005-0000-0000-000096280000}"/>
    <cellStyle name="Normal 71 6 2" xfId="10422" xr:uid="{00000000-0005-0000-0000-000097280000}"/>
    <cellStyle name="Normal 71 7" xfId="10423" xr:uid="{00000000-0005-0000-0000-000098280000}"/>
    <cellStyle name="Normal 71 7 2" xfId="10424" xr:uid="{00000000-0005-0000-0000-000099280000}"/>
    <cellStyle name="Normal 71 8" xfId="10425" xr:uid="{00000000-0005-0000-0000-00009A280000}"/>
    <cellStyle name="Normal 72" xfId="10426" xr:uid="{00000000-0005-0000-0000-00009B280000}"/>
    <cellStyle name="Normal 72 2" xfId="10427" xr:uid="{00000000-0005-0000-0000-00009C280000}"/>
    <cellStyle name="Normal 72 2 2" xfId="10428" xr:uid="{00000000-0005-0000-0000-00009D280000}"/>
    <cellStyle name="Normal 72 2 2 2" xfId="10429" xr:uid="{00000000-0005-0000-0000-00009E280000}"/>
    <cellStyle name="Normal 72 2 2 2 2" xfId="10430" xr:uid="{00000000-0005-0000-0000-00009F280000}"/>
    <cellStyle name="Normal 72 2 2 2 2 2" xfId="10431" xr:uid="{00000000-0005-0000-0000-0000A0280000}"/>
    <cellStyle name="Normal 72 2 2 2 3" xfId="10432" xr:uid="{00000000-0005-0000-0000-0000A1280000}"/>
    <cellStyle name="Normal 72 2 2 2 3 2" xfId="10433" xr:uid="{00000000-0005-0000-0000-0000A2280000}"/>
    <cellStyle name="Normal 72 2 2 2 4" xfId="10434" xr:uid="{00000000-0005-0000-0000-0000A3280000}"/>
    <cellStyle name="Normal 72 2 2 3" xfId="10435" xr:uid="{00000000-0005-0000-0000-0000A4280000}"/>
    <cellStyle name="Normal 72 2 2 3 2" xfId="10436" xr:uid="{00000000-0005-0000-0000-0000A5280000}"/>
    <cellStyle name="Normal 72 2 2 3 2 2" xfId="10437" xr:uid="{00000000-0005-0000-0000-0000A6280000}"/>
    <cellStyle name="Normal 72 2 2 3 3" xfId="10438" xr:uid="{00000000-0005-0000-0000-0000A7280000}"/>
    <cellStyle name="Normal 72 2 2 4" xfId="10439" xr:uid="{00000000-0005-0000-0000-0000A8280000}"/>
    <cellStyle name="Normal 72 2 2 4 2" xfId="10440" xr:uid="{00000000-0005-0000-0000-0000A9280000}"/>
    <cellStyle name="Normal 72 2 2 5" xfId="10441" xr:uid="{00000000-0005-0000-0000-0000AA280000}"/>
    <cellStyle name="Normal 72 2 2 5 2" xfId="10442" xr:uid="{00000000-0005-0000-0000-0000AB280000}"/>
    <cellStyle name="Normal 72 2 2 6" xfId="10443" xr:uid="{00000000-0005-0000-0000-0000AC280000}"/>
    <cellStyle name="Normal 72 2 3" xfId="10444" xr:uid="{00000000-0005-0000-0000-0000AD280000}"/>
    <cellStyle name="Normal 72 2 3 2" xfId="10445" xr:uid="{00000000-0005-0000-0000-0000AE280000}"/>
    <cellStyle name="Normal 72 2 3 2 2" xfId="10446" xr:uid="{00000000-0005-0000-0000-0000AF280000}"/>
    <cellStyle name="Normal 72 2 3 3" xfId="10447" xr:uid="{00000000-0005-0000-0000-0000B0280000}"/>
    <cellStyle name="Normal 72 2 3 3 2" xfId="10448" xr:uid="{00000000-0005-0000-0000-0000B1280000}"/>
    <cellStyle name="Normal 72 2 3 4" xfId="10449" xr:uid="{00000000-0005-0000-0000-0000B2280000}"/>
    <cellStyle name="Normal 72 2 4" xfId="10450" xr:uid="{00000000-0005-0000-0000-0000B3280000}"/>
    <cellStyle name="Normal 72 2 4 2" xfId="10451" xr:uid="{00000000-0005-0000-0000-0000B4280000}"/>
    <cellStyle name="Normal 72 2 4 2 2" xfId="10452" xr:uid="{00000000-0005-0000-0000-0000B5280000}"/>
    <cellStyle name="Normal 72 2 4 3" xfId="10453" xr:uid="{00000000-0005-0000-0000-0000B6280000}"/>
    <cellStyle name="Normal 72 2 5" xfId="10454" xr:uid="{00000000-0005-0000-0000-0000B7280000}"/>
    <cellStyle name="Normal 72 2 5 2" xfId="10455" xr:uid="{00000000-0005-0000-0000-0000B8280000}"/>
    <cellStyle name="Normal 72 2 6" xfId="10456" xr:uid="{00000000-0005-0000-0000-0000B9280000}"/>
    <cellStyle name="Normal 72 2 6 2" xfId="10457" xr:uid="{00000000-0005-0000-0000-0000BA280000}"/>
    <cellStyle name="Normal 72 2 7" xfId="10458" xr:uid="{00000000-0005-0000-0000-0000BB280000}"/>
    <cellStyle name="Normal 72 3" xfId="10459" xr:uid="{00000000-0005-0000-0000-0000BC280000}"/>
    <cellStyle name="Normal 72 3 2" xfId="10460" xr:uid="{00000000-0005-0000-0000-0000BD280000}"/>
    <cellStyle name="Normal 72 3 2 2" xfId="10461" xr:uid="{00000000-0005-0000-0000-0000BE280000}"/>
    <cellStyle name="Normal 72 3 2 2 2" xfId="10462" xr:uid="{00000000-0005-0000-0000-0000BF280000}"/>
    <cellStyle name="Normal 72 3 2 3" xfId="10463" xr:uid="{00000000-0005-0000-0000-0000C0280000}"/>
    <cellStyle name="Normal 72 3 2 3 2" xfId="10464" xr:uid="{00000000-0005-0000-0000-0000C1280000}"/>
    <cellStyle name="Normal 72 3 2 4" xfId="10465" xr:uid="{00000000-0005-0000-0000-0000C2280000}"/>
    <cellStyle name="Normal 72 3 3" xfId="10466" xr:uid="{00000000-0005-0000-0000-0000C3280000}"/>
    <cellStyle name="Normal 72 3 3 2" xfId="10467" xr:uid="{00000000-0005-0000-0000-0000C4280000}"/>
    <cellStyle name="Normal 72 3 3 2 2" xfId="10468" xr:uid="{00000000-0005-0000-0000-0000C5280000}"/>
    <cellStyle name="Normal 72 3 3 3" xfId="10469" xr:uid="{00000000-0005-0000-0000-0000C6280000}"/>
    <cellStyle name="Normal 72 3 4" xfId="10470" xr:uid="{00000000-0005-0000-0000-0000C7280000}"/>
    <cellStyle name="Normal 72 3 4 2" xfId="10471" xr:uid="{00000000-0005-0000-0000-0000C8280000}"/>
    <cellStyle name="Normal 72 3 5" xfId="10472" xr:uid="{00000000-0005-0000-0000-0000C9280000}"/>
    <cellStyle name="Normal 72 3 5 2" xfId="10473" xr:uid="{00000000-0005-0000-0000-0000CA280000}"/>
    <cellStyle name="Normal 72 3 6" xfId="10474" xr:uid="{00000000-0005-0000-0000-0000CB280000}"/>
    <cellStyle name="Normal 72 4" xfId="10475" xr:uid="{00000000-0005-0000-0000-0000CC280000}"/>
    <cellStyle name="Normal 72 4 2" xfId="10476" xr:uid="{00000000-0005-0000-0000-0000CD280000}"/>
    <cellStyle name="Normal 72 4 2 2" xfId="10477" xr:uid="{00000000-0005-0000-0000-0000CE280000}"/>
    <cellStyle name="Normal 72 4 3" xfId="10478" xr:uid="{00000000-0005-0000-0000-0000CF280000}"/>
    <cellStyle name="Normal 72 4 3 2" xfId="10479" xr:uid="{00000000-0005-0000-0000-0000D0280000}"/>
    <cellStyle name="Normal 72 4 4" xfId="10480" xr:uid="{00000000-0005-0000-0000-0000D1280000}"/>
    <cellStyle name="Normal 72 5" xfId="10481" xr:uid="{00000000-0005-0000-0000-0000D2280000}"/>
    <cellStyle name="Normal 72 5 2" xfId="10482" xr:uid="{00000000-0005-0000-0000-0000D3280000}"/>
    <cellStyle name="Normal 72 5 2 2" xfId="10483" xr:uid="{00000000-0005-0000-0000-0000D4280000}"/>
    <cellStyle name="Normal 72 5 3" xfId="10484" xr:uid="{00000000-0005-0000-0000-0000D5280000}"/>
    <cellStyle name="Normal 72 6" xfId="10485" xr:uid="{00000000-0005-0000-0000-0000D6280000}"/>
    <cellStyle name="Normal 72 6 2" xfId="10486" xr:uid="{00000000-0005-0000-0000-0000D7280000}"/>
    <cellStyle name="Normal 72 7" xfId="10487" xr:uid="{00000000-0005-0000-0000-0000D8280000}"/>
    <cellStyle name="Normal 72 7 2" xfId="10488" xr:uid="{00000000-0005-0000-0000-0000D9280000}"/>
    <cellStyle name="Normal 72 8" xfId="10489" xr:uid="{00000000-0005-0000-0000-0000DA280000}"/>
    <cellStyle name="Normal 73" xfId="10490" xr:uid="{00000000-0005-0000-0000-0000DB280000}"/>
    <cellStyle name="Normal 73 2" xfId="10491" xr:uid="{00000000-0005-0000-0000-0000DC280000}"/>
    <cellStyle name="Normal 73 2 2" xfId="10492" xr:uid="{00000000-0005-0000-0000-0000DD280000}"/>
    <cellStyle name="Normal 73 2 2 2" xfId="10493" xr:uid="{00000000-0005-0000-0000-0000DE280000}"/>
    <cellStyle name="Normal 73 2 2 2 2" xfId="10494" xr:uid="{00000000-0005-0000-0000-0000DF280000}"/>
    <cellStyle name="Normal 73 2 2 2 2 2" xfId="10495" xr:uid="{00000000-0005-0000-0000-0000E0280000}"/>
    <cellStyle name="Normal 73 2 2 2 3" xfId="10496" xr:uid="{00000000-0005-0000-0000-0000E1280000}"/>
    <cellStyle name="Normal 73 2 2 2 3 2" xfId="10497" xr:uid="{00000000-0005-0000-0000-0000E2280000}"/>
    <cellStyle name="Normal 73 2 2 2 4" xfId="10498" xr:uid="{00000000-0005-0000-0000-0000E3280000}"/>
    <cellStyle name="Normal 73 2 2 3" xfId="10499" xr:uid="{00000000-0005-0000-0000-0000E4280000}"/>
    <cellStyle name="Normal 73 2 2 3 2" xfId="10500" xr:uid="{00000000-0005-0000-0000-0000E5280000}"/>
    <cellStyle name="Normal 73 2 2 3 2 2" xfId="10501" xr:uid="{00000000-0005-0000-0000-0000E6280000}"/>
    <cellStyle name="Normal 73 2 2 3 3" xfId="10502" xr:uid="{00000000-0005-0000-0000-0000E7280000}"/>
    <cellStyle name="Normal 73 2 2 4" xfId="10503" xr:uid="{00000000-0005-0000-0000-0000E8280000}"/>
    <cellStyle name="Normal 73 2 2 4 2" xfId="10504" xr:uid="{00000000-0005-0000-0000-0000E9280000}"/>
    <cellStyle name="Normal 73 2 2 5" xfId="10505" xr:uid="{00000000-0005-0000-0000-0000EA280000}"/>
    <cellStyle name="Normal 73 2 2 5 2" xfId="10506" xr:uid="{00000000-0005-0000-0000-0000EB280000}"/>
    <cellStyle name="Normal 73 2 2 6" xfId="10507" xr:uid="{00000000-0005-0000-0000-0000EC280000}"/>
    <cellStyle name="Normal 73 2 3" xfId="10508" xr:uid="{00000000-0005-0000-0000-0000ED280000}"/>
    <cellStyle name="Normal 73 2 3 2" xfId="10509" xr:uid="{00000000-0005-0000-0000-0000EE280000}"/>
    <cellStyle name="Normal 73 2 3 2 2" xfId="10510" xr:uid="{00000000-0005-0000-0000-0000EF280000}"/>
    <cellStyle name="Normal 73 2 3 3" xfId="10511" xr:uid="{00000000-0005-0000-0000-0000F0280000}"/>
    <cellStyle name="Normal 73 2 3 3 2" xfId="10512" xr:uid="{00000000-0005-0000-0000-0000F1280000}"/>
    <cellStyle name="Normal 73 2 3 4" xfId="10513" xr:uid="{00000000-0005-0000-0000-0000F2280000}"/>
    <cellStyle name="Normal 73 2 4" xfId="10514" xr:uid="{00000000-0005-0000-0000-0000F3280000}"/>
    <cellStyle name="Normal 73 2 4 2" xfId="10515" xr:uid="{00000000-0005-0000-0000-0000F4280000}"/>
    <cellStyle name="Normal 73 2 4 2 2" xfId="10516" xr:uid="{00000000-0005-0000-0000-0000F5280000}"/>
    <cellStyle name="Normal 73 2 4 3" xfId="10517" xr:uid="{00000000-0005-0000-0000-0000F6280000}"/>
    <cellStyle name="Normal 73 2 5" xfId="10518" xr:uid="{00000000-0005-0000-0000-0000F7280000}"/>
    <cellStyle name="Normal 73 2 5 2" xfId="10519" xr:uid="{00000000-0005-0000-0000-0000F8280000}"/>
    <cellStyle name="Normal 73 2 6" xfId="10520" xr:uid="{00000000-0005-0000-0000-0000F9280000}"/>
    <cellStyle name="Normal 73 2 6 2" xfId="10521" xr:uid="{00000000-0005-0000-0000-0000FA280000}"/>
    <cellStyle name="Normal 73 2 7" xfId="10522" xr:uid="{00000000-0005-0000-0000-0000FB280000}"/>
    <cellStyle name="Normal 73 3" xfId="10523" xr:uid="{00000000-0005-0000-0000-0000FC280000}"/>
    <cellStyle name="Normal 73 3 2" xfId="10524" xr:uid="{00000000-0005-0000-0000-0000FD280000}"/>
    <cellStyle name="Normal 73 3 2 2" xfId="10525" xr:uid="{00000000-0005-0000-0000-0000FE280000}"/>
    <cellStyle name="Normal 73 3 2 2 2" xfId="10526" xr:uid="{00000000-0005-0000-0000-0000FF280000}"/>
    <cellStyle name="Normal 73 3 2 3" xfId="10527" xr:uid="{00000000-0005-0000-0000-000000290000}"/>
    <cellStyle name="Normal 73 3 2 3 2" xfId="10528" xr:uid="{00000000-0005-0000-0000-000001290000}"/>
    <cellStyle name="Normal 73 3 2 4" xfId="10529" xr:uid="{00000000-0005-0000-0000-000002290000}"/>
    <cellStyle name="Normal 73 3 3" xfId="10530" xr:uid="{00000000-0005-0000-0000-000003290000}"/>
    <cellStyle name="Normal 73 3 3 2" xfId="10531" xr:uid="{00000000-0005-0000-0000-000004290000}"/>
    <cellStyle name="Normal 73 3 3 2 2" xfId="10532" xr:uid="{00000000-0005-0000-0000-000005290000}"/>
    <cellStyle name="Normal 73 3 3 3" xfId="10533" xr:uid="{00000000-0005-0000-0000-000006290000}"/>
    <cellStyle name="Normal 73 3 4" xfId="10534" xr:uid="{00000000-0005-0000-0000-000007290000}"/>
    <cellStyle name="Normal 73 3 4 2" xfId="10535" xr:uid="{00000000-0005-0000-0000-000008290000}"/>
    <cellStyle name="Normal 73 3 5" xfId="10536" xr:uid="{00000000-0005-0000-0000-000009290000}"/>
    <cellStyle name="Normal 73 3 5 2" xfId="10537" xr:uid="{00000000-0005-0000-0000-00000A290000}"/>
    <cellStyle name="Normal 73 3 6" xfId="10538" xr:uid="{00000000-0005-0000-0000-00000B290000}"/>
    <cellStyle name="Normal 73 4" xfId="10539" xr:uid="{00000000-0005-0000-0000-00000C290000}"/>
    <cellStyle name="Normal 73 4 2" xfId="10540" xr:uid="{00000000-0005-0000-0000-00000D290000}"/>
    <cellStyle name="Normal 73 4 2 2" xfId="10541" xr:uid="{00000000-0005-0000-0000-00000E290000}"/>
    <cellStyle name="Normal 73 4 3" xfId="10542" xr:uid="{00000000-0005-0000-0000-00000F290000}"/>
    <cellStyle name="Normal 73 4 3 2" xfId="10543" xr:uid="{00000000-0005-0000-0000-000010290000}"/>
    <cellStyle name="Normal 73 4 4" xfId="10544" xr:uid="{00000000-0005-0000-0000-000011290000}"/>
    <cellStyle name="Normal 73 5" xfId="10545" xr:uid="{00000000-0005-0000-0000-000012290000}"/>
    <cellStyle name="Normal 73 5 2" xfId="10546" xr:uid="{00000000-0005-0000-0000-000013290000}"/>
    <cellStyle name="Normal 73 5 2 2" xfId="10547" xr:uid="{00000000-0005-0000-0000-000014290000}"/>
    <cellStyle name="Normal 73 5 3" xfId="10548" xr:uid="{00000000-0005-0000-0000-000015290000}"/>
    <cellStyle name="Normal 73 6" xfId="10549" xr:uid="{00000000-0005-0000-0000-000016290000}"/>
    <cellStyle name="Normal 73 6 2" xfId="10550" xr:uid="{00000000-0005-0000-0000-000017290000}"/>
    <cellStyle name="Normal 73 7" xfId="10551" xr:uid="{00000000-0005-0000-0000-000018290000}"/>
    <cellStyle name="Normal 73 7 2" xfId="10552" xr:uid="{00000000-0005-0000-0000-000019290000}"/>
    <cellStyle name="Normal 73 8" xfId="10553" xr:uid="{00000000-0005-0000-0000-00001A290000}"/>
    <cellStyle name="Normal 74" xfId="10554" xr:uid="{00000000-0005-0000-0000-00001B290000}"/>
    <cellStyle name="Normal 74 2" xfId="10555" xr:uid="{00000000-0005-0000-0000-00001C290000}"/>
    <cellStyle name="Normal 74 2 2" xfId="10556" xr:uid="{00000000-0005-0000-0000-00001D290000}"/>
    <cellStyle name="Normal 74 2 2 2" xfId="10557" xr:uid="{00000000-0005-0000-0000-00001E290000}"/>
    <cellStyle name="Normal 74 2 2 2 2" xfId="10558" xr:uid="{00000000-0005-0000-0000-00001F290000}"/>
    <cellStyle name="Normal 74 2 2 2 2 2" xfId="10559" xr:uid="{00000000-0005-0000-0000-000020290000}"/>
    <cellStyle name="Normal 74 2 2 2 3" xfId="10560" xr:uid="{00000000-0005-0000-0000-000021290000}"/>
    <cellStyle name="Normal 74 2 2 2 3 2" xfId="10561" xr:uid="{00000000-0005-0000-0000-000022290000}"/>
    <cellStyle name="Normal 74 2 2 2 4" xfId="10562" xr:uid="{00000000-0005-0000-0000-000023290000}"/>
    <cellStyle name="Normal 74 2 2 3" xfId="10563" xr:uid="{00000000-0005-0000-0000-000024290000}"/>
    <cellStyle name="Normal 74 2 2 3 2" xfId="10564" xr:uid="{00000000-0005-0000-0000-000025290000}"/>
    <cellStyle name="Normal 74 2 2 3 2 2" xfId="10565" xr:uid="{00000000-0005-0000-0000-000026290000}"/>
    <cellStyle name="Normal 74 2 2 3 3" xfId="10566" xr:uid="{00000000-0005-0000-0000-000027290000}"/>
    <cellStyle name="Normal 74 2 2 4" xfId="10567" xr:uid="{00000000-0005-0000-0000-000028290000}"/>
    <cellStyle name="Normal 74 2 2 4 2" xfId="10568" xr:uid="{00000000-0005-0000-0000-000029290000}"/>
    <cellStyle name="Normal 74 2 2 5" xfId="10569" xr:uid="{00000000-0005-0000-0000-00002A290000}"/>
    <cellStyle name="Normal 74 2 2 5 2" xfId="10570" xr:uid="{00000000-0005-0000-0000-00002B290000}"/>
    <cellStyle name="Normal 74 2 2 6" xfId="10571" xr:uid="{00000000-0005-0000-0000-00002C290000}"/>
    <cellStyle name="Normal 74 2 3" xfId="10572" xr:uid="{00000000-0005-0000-0000-00002D290000}"/>
    <cellStyle name="Normal 74 2 3 2" xfId="10573" xr:uid="{00000000-0005-0000-0000-00002E290000}"/>
    <cellStyle name="Normal 74 2 3 2 2" xfId="10574" xr:uid="{00000000-0005-0000-0000-00002F290000}"/>
    <cellStyle name="Normal 74 2 3 3" xfId="10575" xr:uid="{00000000-0005-0000-0000-000030290000}"/>
    <cellStyle name="Normal 74 2 3 3 2" xfId="10576" xr:uid="{00000000-0005-0000-0000-000031290000}"/>
    <cellStyle name="Normal 74 2 3 4" xfId="10577" xr:uid="{00000000-0005-0000-0000-000032290000}"/>
    <cellStyle name="Normal 74 2 4" xfId="10578" xr:uid="{00000000-0005-0000-0000-000033290000}"/>
    <cellStyle name="Normal 74 2 4 2" xfId="10579" xr:uid="{00000000-0005-0000-0000-000034290000}"/>
    <cellStyle name="Normal 74 2 4 2 2" xfId="10580" xr:uid="{00000000-0005-0000-0000-000035290000}"/>
    <cellStyle name="Normal 74 2 4 3" xfId="10581" xr:uid="{00000000-0005-0000-0000-000036290000}"/>
    <cellStyle name="Normal 74 2 5" xfId="10582" xr:uid="{00000000-0005-0000-0000-000037290000}"/>
    <cellStyle name="Normal 74 2 5 2" xfId="10583" xr:uid="{00000000-0005-0000-0000-000038290000}"/>
    <cellStyle name="Normal 74 2 6" xfId="10584" xr:uid="{00000000-0005-0000-0000-000039290000}"/>
    <cellStyle name="Normal 74 2 6 2" xfId="10585" xr:uid="{00000000-0005-0000-0000-00003A290000}"/>
    <cellStyle name="Normal 74 2 7" xfId="10586" xr:uid="{00000000-0005-0000-0000-00003B290000}"/>
    <cellStyle name="Normal 74 3" xfId="10587" xr:uid="{00000000-0005-0000-0000-00003C290000}"/>
    <cellStyle name="Normal 74 3 2" xfId="10588" xr:uid="{00000000-0005-0000-0000-00003D290000}"/>
    <cellStyle name="Normal 74 3 2 2" xfId="10589" xr:uid="{00000000-0005-0000-0000-00003E290000}"/>
    <cellStyle name="Normal 74 3 2 2 2" xfId="10590" xr:uid="{00000000-0005-0000-0000-00003F290000}"/>
    <cellStyle name="Normal 74 3 2 3" xfId="10591" xr:uid="{00000000-0005-0000-0000-000040290000}"/>
    <cellStyle name="Normal 74 3 2 3 2" xfId="10592" xr:uid="{00000000-0005-0000-0000-000041290000}"/>
    <cellStyle name="Normal 74 3 2 4" xfId="10593" xr:uid="{00000000-0005-0000-0000-000042290000}"/>
    <cellStyle name="Normal 74 3 3" xfId="10594" xr:uid="{00000000-0005-0000-0000-000043290000}"/>
    <cellStyle name="Normal 74 3 3 2" xfId="10595" xr:uid="{00000000-0005-0000-0000-000044290000}"/>
    <cellStyle name="Normal 74 3 3 2 2" xfId="10596" xr:uid="{00000000-0005-0000-0000-000045290000}"/>
    <cellStyle name="Normal 74 3 3 3" xfId="10597" xr:uid="{00000000-0005-0000-0000-000046290000}"/>
    <cellStyle name="Normal 74 3 4" xfId="10598" xr:uid="{00000000-0005-0000-0000-000047290000}"/>
    <cellStyle name="Normal 74 3 4 2" xfId="10599" xr:uid="{00000000-0005-0000-0000-000048290000}"/>
    <cellStyle name="Normal 74 3 5" xfId="10600" xr:uid="{00000000-0005-0000-0000-000049290000}"/>
    <cellStyle name="Normal 74 3 5 2" xfId="10601" xr:uid="{00000000-0005-0000-0000-00004A290000}"/>
    <cellStyle name="Normal 74 3 6" xfId="10602" xr:uid="{00000000-0005-0000-0000-00004B290000}"/>
    <cellStyle name="Normal 74 4" xfId="10603" xr:uid="{00000000-0005-0000-0000-00004C290000}"/>
    <cellStyle name="Normal 74 4 2" xfId="10604" xr:uid="{00000000-0005-0000-0000-00004D290000}"/>
    <cellStyle name="Normal 74 4 2 2" xfId="10605" xr:uid="{00000000-0005-0000-0000-00004E290000}"/>
    <cellStyle name="Normal 74 4 3" xfId="10606" xr:uid="{00000000-0005-0000-0000-00004F290000}"/>
    <cellStyle name="Normal 74 4 3 2" xfId="10607" xr:uid="{00000000-0005-0000-0000-000050290000}"/>
    <cellStyle name="Normal 74 4 4" xfId="10608" xr:uid="{00000000-0005-0000-0000-000051290000}"/>
    <cellStyle name="Normal 74 5" xfId="10609" xr:uid="{00000000-0005-0000-0000-000052290000}"/>
    <cellStyle name="Normal 74 5 2" xfId="10610" xr:uid="{00000000-0005-0000-0000-000053290000}"/>
    <cellStyle name="Normal 74 5 2 2" xfId="10611" xr:uid="{00000000-0005-0000-0000-000054290000}"/>
    <cellStyle name="Normal 74 5 3" xfId="10612" xr:uid="{00000000-0005-0000-0000-000055290000}"/>
    <cellStyle name="Normal 74 6" xfId="10613" xr:uid="{00000000-0005-0000-0000-000056290000}"/>
    <cellStyle name="Normal 74 6 2" xfId="10614" xr:uid="{00000000-0005-0000-0000-000057290000}"/>
    <cellStyle name="Normal 74 7" xfId="10615" xr:uid="{00000000-0005-0000-0000-000058290000}"/>
    <cellStyle name="Normal 74 7 2" xfId="10616" xr:uid="{00000000-0005-0000-0000-000059290000}"/>
    <cellStyle name="Normal 74 8" xfId="10617" xr:uid="{00000000-0005-0000-0000-00005A290000}"/>
    <cellStyle name="Normal 75" xfId="10618" xr:uid="{00000000-0005-0000-0000-00005B290000}"/>
    <cellStyle name="Normal 75 2" xfId="10619" xr:uid="{00000000-0005-0000-0000-00005C290000}"/>
    <cellStyle name="Normal 75 2 2" xfId="10620" xr:uid="{00000000-0005-0000-0000-00005D290000}"/>
    <cellStyle name="Normal 75 2 2 2" xfId="10621" xr:uid="{00000000-0005-0000-0000-00005E290000}"/>
    <cellStyle name="Normal 75 2 2 2 2" xfId="10622" xr:uid="{00000000-0005-0000-0000-00005F290000}"/>
    <cellStyle name="Normal 75 2 2 2 2 2" xfId="10623" xr:uid="{00000000-0005-0000-0000-000060290000}"/>
    <cellStyle name="Normal 75 2 2 2 3" xfId="10624" xr:uid="{00000000-0005-0000-0000-000061290000}"/>
    <cellStyle name="Normal 75 2 2 2 3 2" xfId="10625" xr:uid="{00000000-0005-0000-0000-000062290000}"/>
    <cellStyle name="Normal 75 2 2 2 4" xfId="10626" xr:uid="{00000000-0005-0000-0000-000063290000}"/>
    <cellStyle name="Normal 75 2 2 3" xfId="10627" xr:uid="{00000000-0005-0000-0000-000064290000}"/>
    <cellStyle name="Normal 75 2 2 3 2" xfId="10628" xr:uid="{00000000-0005-0000-0000-000065290000}"/>
    <cellStyle name="Normal 75 2 2 3 2 2" xfId="10629" xr:uid="{00000000-0005-0000-0000-000066290000}"/>
    <cellStyle name="Normal 75 2 2 3 3" xfId="10630" xr:uid="{00000000-0005-0000-0000-000067290000}"/>
    <cellStyle name="Normal 75 2 2 4" xfId="10631" xr:uid="{00000000-0005-0000-0000-000068290000}"/>
    <cellStyle name="Normal 75 2 2 4 2" xfId="10632" xr:uid="{00000000-0005-0000-0000-000069290000}"/>
    <cellStyle name="Normal 75 2 2 5" xfId="10633" xr:uid="{00000000-0005-0000-0000-00006A290000}"/>
    <cellStyle name="Normal 75 2 2 5 2" xfId="10634" xr:uid="{00000000-0005-0000-0000-00006B290000}"/>
    <cellStyle name="Normal 75 2 2 6" xfId="10635" xr:uid="{00000000-0005-0000-0000-00006C290000}"/>
    <cellStyle name="Normal 75 2 3" xfId="10636" xr:uid="{00000000-0005-0000-0000-00006D290000}"/>
    <cellStyle name="Normal 75 2 3 2" xfId="10637" xr:uid="{00000000-0005-0000-0000-00006E290000}"/>
    <cellStyle name="Normal 75 2 3 2 2" xfId="10638" xr:uid="{00000000-0005-0000-0000-00006F290000}"/>
    <cellStyle name="Normal 75 2 3 3" xfId="10639" xr:uid="{00000000-0005-0000-0000-000070290000}"/>
    <cellStyle name="Normal 75 2 3 3 2" xfId="10640" xr:uid="{00000000-0005-0000-0000-000071290000}"/>
    <cellStyle name="Normal 75 2 3 4" xfId="10641" xr:uid="{00000000-0005-0000-0000-000072290000}"/>
    <cellStyle name="Normal 75 2 4" xfId="10642" xr:uid="{00000000-0005-0000-0000-000073290000}"/>
    <cellStyle name="Normal 75 2 4 2" xfId="10643" xr:uid="{00000000-0005-0000-0000-000074290000}"/>
    <cellStyle name="Normal 75 2 4 2 2" xfId="10644" xr:uid="{00000000-0005-0000-0000-000075290000}"/>
    <cellStyle name="Normal 75 2 4 3" xfId="10645" xr:uid="{00000000-0005-0000-0000-000076290000}"/>
    <cellStyle name="Normal 75 2 5" xfId="10646" xr:uid="{00000000-0005-0000-0000-000077290000}"/>
    <cellStyle name="Normal 75 2 5 2" xfId="10647" xr:uid="{00000000-0005-0000-0000-000078290000}"/>
    <cellStyle name="Normal 75 2 6" xfId="10648" xr:uid="{00000000-0005-0000-0000-000079290000}"/>
    <cellStyle name="Normal 75 2 6 2" xfId="10649" xr:uid="{00000000-0005-0000-0000-00007A290000}"/>
    <cellStyle name="Normal 75 2 7" xfId="10650" xr:uid="{00000000-0005-0000-0000-00007B290000}"/>
    <cellStyle name="Normal 75 3" xfId="10651" xr:uid="{00000000-0005-0000-0000-00007C290000}"/>
    <cellStyle name="Normal 75 3 2" xfId="10652" xr:uid="{00000000-0005-0000-0000-00007D290000}"/>
    <cellStyle name="Normal 75 3 2 2" xfId="10653" xr:uid="{00000000-0005-0000-0000-00007E290000}"/>
    <cellStyle name="Normal 75 3 2 2 2" xfId="10654" xr:uid="{00000000-0005-0000-0000-00007F290000}"/>
    <cellStyle name="Normal 75 3 2 3" xfId="10655" xr:uid="{00000000-0005-0000-0000-000080290000}"/>
    <cellStyle name="Normal 75 3 2 3 2" xfId="10656" xr:uid="{00000000-0005-0000-0000-000081290000}"/>
    <cellStyle name="Normal 75 3 2 4" xfId="10657" xr:uid="{00000000-0005-0000-0000-000082290000}"/>
    <cellStyle name="Normal 75 3 3" xfId="10658" xr:uid="{00000000-0005-0000-0000-000083290000}"/>
    <cellStyle name="Normal 75 3 3 2" xfId="10659" xr:uid="{00000000-0005-0000-0000-000084290000}"/>
    <cellStyle name="Normal 75 3 3 2 2" xfId="10660" xr:uid="{00000000-0005-0000-0000-000085290000}"/>
    <cellStyle name="Normal 75 3 3 3" xfId="10661" xr:uid="{00000000-0005-0000-0000-000086290000}"/>
    <cellStyle name="Normal 75 3 4" xfId="10662" xr:uid="{00000000-0005-0000-0000-000087290000}"/>
    <cellStyle name="Normal 75 3 4 2" xfId="10663" xr:uid="{00000000-0005-0000-0000-000088290000}"/>
    <cellStyle name="Normal 75 3 5" xfId="10664" xr:uid="{00000000-0005-0000-0000-000089290000}"/>
    <cellStyle name="Normal 75 3 5 2" xfId="10665" xr:uid="{00000000-0005-0000-0000-00008A290000}"/>
    <cellStyle name="Normal 75 3 6" xfId="10666" xr:uid="{00000000-0005-0000-0000-00008B290000}"/>
    <cellStyle name="Normal 75 4" xfId="10667" xr:uid="{00000000-0005-0000-0000-00008C290000}"/>
    <cellStyle name="Normal 75 4 2" xfId="10668" xr:uid="{00000000-0005-0000-0000-00008D290000}"/>
    <cellStyle name="Normal 75 4 2 2" xfId="10669" xr:uid="{00000000-0005-0000-0000-00008E290000}"/>
    <cellStyle name="Normal 75 4 3" xfId="10670" xr:uid="{00000000-0005-0000-0000-00008F290000}"/>
    <cellStyle name="Normal 75 4 3 2" xfId="10671" xr:uid="{00000000-0005-0000-0000-000090290000}"/>
    <cellStyle name="Normal 75 4 4" xfId="10672" xr:uid="{00000000-0005-0000-0000-000091290000}"/>
    <cellStyle name="Normal 75 5" xfId="10673" xr:uid="{00000000-0005-0000-0000-000092290000}"/>
    <cellStyle name="Normal 75 5 2" xfId="10674" xr:uid="{00000000-0005-0000-0000-000093290000}"/>
    <cellStyle name="Normal 75 5 2 2" xfId="10675" xr:uid="{00000000-0005-0000-0000-000094290000}"/>
    <cellStyle name="Normal 75 5 3" xfId="10676" xr:uid="{00000000-0005-0000-0000-000095290000}"/>
    <cellStyle name="Normal 75 6" xfId="10677" xr:uid="{00000000-0005-0000-0000-000096290000}"/>
    <cellStyle name="Normal 75 6 2" xfId="10678" xr:uid="{00000000-0005-0000-0000-000097290000}"/>
    <cellStyle name="Normal 75 7" xfId="10679" xr:uid="{00000000-0005-0000-0000-000098290000}"/>
    <cellStyle name="Normal 75 7 2" xfId="10680" xr:uid="{00000000-0005-0000-0000-000099290000}"/>
    <cellStyle name="Normal 75 8" xfId="10681" xr:uid="{00000000-0005-0000-0000-00009A290000}"/>
    <cellStyle name="Normal 76" xfId="10682" xr:uid="{00000000-0005-0000-0000-00009B290000}"/>
    <cellStyle name="Normal 76 2" xfId="10683" xr:uid="{00000000-0005-0000-0000-00009C290000}"/>
    <cellStyle name="Normal 76 2 2" xfId="10684" xr:uid="{00000000-0005-0000-0000-00009D290000}"/>
    <cellStyle name="Normal 76 2 2 2" xfId="10685" xr:uid="{00000000-0005-0000-0000-00009E290000}"/>
    <cellStyle name="Normal 76 2 2 2 2" xfId="10686" xr:uid="{00000000-0005-0000-0000-00009F290000}"/>
    <cellStyle name="Normal 76 2 2 2 2 2" xfId="10687" xr:uid="{00000000-0005-0000-0000-0000A0290000}"/>
    <cellStyle name="Normal 76 2 2 2 3" xfId="10688" xr:uid="{00000000-0005-0000-0000-0000A1290000}"/>
    <cellStyle name="Normal 76 2 2 2 3 2" xfId="10689" xr:uid="{00000000-0005-0000-0000-0000A2290000}"/>
    <cellStyle name="Normal 76 2 2 2 4" xfId="10690" xr:uid="{00000000-0005-0000-0000-0000A3290000}"/>
    <cellStyle name="Normal 76 2 2 3" xfId="10691" xr:uid="{00000000-0005-0000-0000-0000A4290000}"/>
    <cellStyle name="Normal 76 2 2 3 2" xfId="10692" xr:uid="{00000000-0005-0000-0000-0000A5290000}"/>
    <cellStyle name="Normal 76 2 2 3 2 2" xfId="10693" xr:uid="{00000000-0005-0000-0000-0000A6290000}"/>
    <cellStyle name="Normal 76 2 2 3 3" xfId="10694" xr:uid="{00000000-0005-0000-0000-0000A7290000}"/>
    <cellStyle name="Normal 76 2 2 4" xfId="10695" xr:uid="{00000000-0005-0000-0000-0000A8290000}"/>
    <cellStyle name="Normal 76 2 2 4 2" xfId="10696" xr:uid="{00000000-0005-0000-0000-0000A9290000}"/>
    <cellStyle name="Normal 76 2 2 5" xfId="10697" xr:uid="{00000000-0005-0000-0000-0000AA290000}"/>
    <cellStyle name="Normal 76 2 2 5 2" xfId="10698" xr:uid="{00000000-0005-0000-0000-0000AB290000}"/>
    <cellStyle name="Normal 76 2 2 6" xfId="10699" xr:uid="{00000000-0005-0000-0000-0000AC290000}"/>
    <cellStyle name="Normal 76 2 3" xfId="10700" xr:uid="{00000000-0005-0000-0000-0000AD290000}"/>
    <cellStyle name="Normal 76 2 3 2" xfId="10701" xr:uid="{00000000-0005-0000-0000-0000AE290000}"/>
    <cellStyle name="Normal 76 2 3 2 2" xfId="10702" xr:uid="{00000000-0005-0000-0000-0000AF290000}"/>
    <cellStyle name="Normal 76 2 3 3" xfId="10703" xr:uid="{00000000-0005-0000-0000-0000B0290000}"/>
    <cellStyle name="Normal 76 2 3 3 2" xfId="10704" xr:uid="{00000000-0005-0000-0000-0000B1290000}"/>
    <cellStyle name="Normal 76 2 3 4" xfId="10705" xr:uid="{00000000-0005-0000-0000-0000B2290000}"/>
    <cellStyle name="Normal 76 2 4" xfId="10706" xr:uid="{00000000-0005-0000-0000-0000B3290000}"/>
    <cellStyle name="Normal 76 2 4 2" xfId="10707" xr:uid="{00000000-0005-0000-0000-0000B4290000}"/>
    <cellStyle name="Normal 76 2 4 2 2" xfId="10708" xr:uid="{00000000-0005-0000-0000-0000B5290000}"/>
    <cellStyle name="Normal 76 2 4 3" xfId="10709" xr:uid="{00000000-0005-0000-0000-0000B6290000}"/>
    <cellStyle name="Normal 76 2 5" xfId="10710" xr:uid="{00000000-0005-0000-0000-0000B7290000}"/>
    <cellStyle name="Normal 76 2 5 2" xfId="10711" xr:uid="{00000000-0005-0000-0000-0000B8290000}"/>
    <cellStyle name="Normal 76 2 6" xfId="10712" xr:uid="{00000000-0005-0000-0000-0000B9290000}"/>
    <cellStyle name="Normal 76 2 6 2" xfId="10713" xr:uid="{00000000-0005-0000-0000-0000BA290000}"/>
    <cellStyle name="Normal 76 2 7" xfId="10714" xr:uid="{00000000-0005-0000-0000-0000BB290000}"/>
    <cellStyle name="Normal 76 3" xfId="10715" xr:uid="{00000000-0005-0000-0000-0000BC290000}"/>
    <cellStyle name="Normal 76 3 2" xfId="10716" xr:uid="{00000000-0005-0000-0000-0000BD290000}"/>
    <cellStyle name="Normal 76 3 2 2" xfId="10717" xr:uid="{00000000-0005-0000-0000-0000BE290000}"/>
    <cellStyle name="Normal 76 3 2 2 2" xfId="10718" xr:uid="{00000000-0005-0000-0000-0000BF290000}"/>
    <cellStyle name="Normal 76 3 2 3" xfId="10719" xr:uid="{00000000-0005-0000-0000-0000C0290000}"/>
    <cellStyle name="Normal 76 3 2 3 2" xfId="10720" xr:uid="{00000000-0005-0000-0000-0000C1290000}"/>
    <cellStyle name="Normal 76 3 2 4" xfId="10721" xr:uid="{00000000-0005-0000-0000-0000C2290000}"/>
    <cellStyle name="Normal 76 3 3" xfId="10722" xr:uid="{00000000-0005-0000-0000-0000C3290000}"/>
    <cellStyle name="Normal 76 3 3 2" xfId="10723" xr:uid="{00000000-0005-0000-0000-0000C4290000}"/>
    <cellStyle name="Normal 76 3 3 2 2" xfId="10724" xr:uid="{00000000-0005-0000-0000-0000C5290000}"/>
    <cellStyle name="Normal 76 3 3 3" xfId="10725" xr:uid="{00000000-0005-0000-0000-0000C6290000}"/>
    <cellStyle name="Normal 76 3 4" xfId="10726" xr:uid="{00000000-0005-0000-0000-0000C7290000}"/>
    <cellStyle name="Normal 76 3 4 2" xfId="10727" xr:uid="{00000000-0005-0000-0000-0000C8290000}"/>
    <cellStyle name="Normal 76 3 5" xfId="10728" xr:uid="{00000000-0005-0000-0000-0000C9290000}"/>
    <cellStyle name="Normal 76 3 5 2" xfId="10729" xr:uid="{00000000-0005-0000-0000-0000CA290000}"/>
    <cellStyle name="Normal 76 3 6" xfId="10730" xr:uid="{00000000-0005-0000-0000-0000CB290000}"/>
    <cellStyle name="Normal 76 4" xfId="10731" xr:uid="{00000000-0005-0000-0000-0000CC290000}"/>
    <cellStyle name="Normal 76 4 2" xfId="10732" xr:uid="{00000000-0005-0000-0000-0000CD290000}"/>
    <cellStyle name="Normal 76 4 2 2" xfId="10733" xr:uid="{00000000-0005-0000-0000-0000CE290000}"/>
    <cellStyle name="Normal 76 4 3" xfId="10734" xr:uid="{00000000-0005-0000-0000-0000CF290000}"/>
    <cellStyle name="Normal 76 4 3 2" xfId="10735" xr:uid="{00000000-0005-0000-0000-0000D0290000}"/>
    <cellStyle name="Normal 76 4 4" xfId="10736" xr:uid="{00000000-0005-0000-0000-0000D1290000}"/>
    <cellStyle name="Normal 76 5" xfId="10737" xr:uid="{00000000-0005-0000-0000-0000D2290000}"/>
    <cellStyle name="Normal 76 5 2" xfId="10738" xr:uid="{00000000-0005-0000-0000-0000D3290000}"/>
    <cellStyle name="Normal 76 5 2 2" xfId="10739" xr:uid="{00000000-0005-0000-0000-0000D4290000}"/>
    <cellStyle name="Normal 76 5 3" xfId="10740" xr:uid="{00000000-0005-0000-0000-0000D5290000}"/>
    <cellStyle name="Normal 76 6" xfId="10741" xr:uid="{00000000-0005-0000-0000-0000D6290000}"/>
    <cellStyle name="Normal 76 6 2" xfId="10742" xr:uid="{00000000-0005-0000-0000-0000D7290000}"/>
    <cellStyle name="Normal 76 7" xfId="10743" xr:uid="{00000000-0005-0000-0000-0000D8290000}"/>
    <cellStyle name="Normal 76 7 2" xfId="10744" xr:uid="{00000000-0005-0000-0000-0000D9290000}"/>
    <cellStyle name="Normal 76 8" xfId="10745" xr:uid="{00000000-0005-0000-0000-0000DA290000}"/>
    <cellStyle name="Normal 77" xfId="10746" xr:uid="{00000000-0005-0000-0000-0000DB290000}"/>
    <cellStyle name="Normal 77 2" xfId="10747" xr:uid="{00000000-0005-0000-0000-0000DC290000}"/>
    <cellStyle name="Normal 77 2 2" xfId="10748" xr:uid="{00000000-0005-0000-0000-0000DD290000}"/>
    <cellStyle name="Normal 77 2 2 2" xfId="10749" xr:uid="{00000000-0005-0000-0000-0000DE290000}"/>
    <cellStyle name="Normal 77 2 2 2 2" xfId="10750" xr:uid="{00000000-0005-0000-0000-0000DF290000}"/>
    <cellStyle name="Normal 77 2 2 2 2 2" xfId="10751" xr:uid="{00000000-0005-0000-0000-0000E0290000}"/>
    <cellStyle name="Normal 77 2 2 2 3" xfId="10752" xr:uid="{00000000-0005-0000-0000-0000E1290000}"/>
    <cellStyle name="Normal 77 2 2 2 3 2" xfId="10753" xr:uid="{00000000-0005-0000-0000-0000E2290000}"/>
    <cellStyle name="Normal 77 2 2 2 4" xfId="10754" xr:uid="{00000000-0005-0000-0000-0000E3290000}"/>
    <cellStyle name="Normal 77 2 2 3" xfId="10755" xr:uid="{00000000-0005-0000-0000-0000E4290000}"/>
    <cellStyle name="Normal 77 2 2 3 2" xfId="10756" xr:uid="{00000000-0005-0000-0000-0000E5290000}"/>
    <cellStyle name="Normal 77 2 2 3 2 2" xfId="10757" xr:uid="{00000000-0005-0000-0000-0000E6290000}"/>
    <cellStyle name="Normal 77 2 2 3 3" xfId="10758" xr:uid="{00000000-0005-0000-0000-0000E7290000}"/>
    <cellStyle name="Normal 77 2 2 4" xfId="10759" xr:uid="{00000000-0005-0000-0000-0000E8290000}"/>
    <cellStyle name="Normal 77 2 2 4 2" xfId="10760" xr:uid="{00000000-0005-0000-0000-0000E9290000}"/>
    <cellStyle name="Normal 77 2 2 5" xfId="10761" xr:uid="{00000000-0005-0000-0000-0000EA290000}"/>
    <cellStyle name="Normal 77 2 2 5 2" xfId="10762" xr:uid="{00000000-0005-0000-0000-0000EB290000}"/>
    <cellStyle name="Normal 77 2 2 6" xfId="10763" xr:uid="{00000000-0005-0000-0000-0000EC290000}"/>
    <cellStyle name="Normal 77 2 3" xfId="10764" xr:uid="{00000000-0005-0000-0000-0000ED290000}"/>
    <cellStyle name="Normal 77 2 3 2" xfId="10765" xr:uid="{00000000-0005-0000-0000-0000EE290000}"/>
    <cellStyle name="Normal 77 2 3 2 2" xfId="10766" xr:uid="{00000000-0005-0000-0000-0000EF290000}"/>
    <cellStyle name="Normal 77 2 3 3" xfId="10767" xr:uid="{00000000-0005-0000-0000-0000F0290000}"/>
    <cellStyle name="Normal 77 2 3 3 2" xfId="10768" xr:uid="{00000000-0005-0000-0000-0000F1290000}"/>
    <cellStyle name="Normal 77 2 3 4" xfId="10769" xr:uid="{00000000-0005-0000-0000-0000F2290000}"/>
    <cellStyle name="Normal 77 2 4" xfId="10770" xr:uid="{00000000-0005-0000-0000-0000F3290000}"/>
    <cellStyle name="Normal 77 2 4 2" xfId="10771" xr:uid="{00000000-0005-0000-0000-0000F4290000}"/>
    <cellStyle name="Normal 77 2 4 2 2" xfId="10772" xr:uid="{00000000-0005-0000-0000-0000F5290000}"/>
    <cellStyle name="Normal 77 2 4 3" xfId="10773" xr:uid="{00000000-0005-0000-0000-0000F6290000}"/>
    <cellStyle name="Normal 77 2 5" xfId="10774" xr:uid="{00000000-0005-0000-0000-0000F7290000}"/>
    <cellStyle name="Normal 77 2 5 2" xfId="10775" xr:uid="{00000000-0005-0000-0000-0000F8290000}"/>
    <cellStyle name="Normal 77 2 6" xfId="10776" xr:uid="{00000000-0005-0000-0000-0000F9290000}"/>
    <cellStyle name="Normal 77 2 6 2" xfId="10777" xr:uid="{00000000-0005-0000-0000-0000FA290000}"/>
    <cellStyle name="Normal 77 2 7" xfId="10778" xr:uid="{00000000-0005-0000-0000-0000FB290000}"/>
    <cellStyle name="Normal 77 3" xfId="10779" xr:uid="{00000000-0005-0000-0000-0000FC290000}"/>
    <cellStyle name="Normal 77 3 2" xfId="10780" xr:uid="{00000000-0005-0000-0000-0000FD290000}"/>
    <cellStyle name="Normal 77 3 2 2" xfId="10781" xr:uid="{00000000-0005-0000-0000-0000FE290000}"/>
    <cellStyle name="Normal 77 3 2 2 2" xfId="10782" xr:uid="{00000000-0005-0000-0000-0000FF290000}"/>
    <cellStyle name="Normal 77 3 2 3" xfId="10783" xr:uid="{00000000-0005-0000-0000-0000002A0000}"/>
    <cellStyle name="Normal 77 3 2 3 2" xfId="10784" xr:uid="{00000000-0005-0000-0000-0000012A0000}"/>
    <cellStyle name="Normal 77 3 2 4" xfId="10785" xr:uid="{00000000-0005-0000-0000-0000022A0000}"/>
    <cellStyle name="Normal 77 3 3" xfId="10786" xr:uid="{00000000-0005-0000-0000-0000032A0000}"/>
    <cellStyle name="Normal 77 3 3 2" xfId="10787" xr:uid="{00000000-0005-0000-0000-0000042A0000}"/>
    <cellStyle name="Normal 77 3 3 2 2" xfId="10788" xr:uid="{00000000-0005-0000-0000-0000052A0000}"/>
    <cellStyle name="Normal 77 3 3 3" xfId="10789" xr:uid="{00000000-0005-0000-0000-0000062A0000}"/>
    <cellStyle name="Normal 77 3 4" xfId="10790" xr:uid="{00000000-0005-0000-0000-0000072A0000}"/>
    <cellStyle name="Normal 77 3 4 2" xfId="10791" xr:uid="{00000000-0005-0000-0000-0000082A0000}"/>
    <cellStyle name="Normal 77 3 5" xfId="10792" xr:uid="{00000000-0005-0000-0000-0000092A0000}"/>
    <cellStyle name="Normal 77 3 5 2" xfId="10793" xr:uid="{00000000-0005-0000-0000-00000A2A0000}"/>
    <cellStyle name="Normal 77 3 6" xfId="10794" xr:uid="{00000000-0005-0000-0000-00000B2A0000}"/>
    <cellStyle name="Normal 77 4" xfId="10795" xr:uid="{00000000-0005-0000-0000-00000C2A0000}"/>
    <cellStyle name="Normal 77 4 2" xfId="10796" xr:uid="{00000000-0005-0000-0000-00000D2A0000}"/>
    <cellStyle name="Normal 77 4 2 2" xfId="10797" xr:uid="{00000000-0005-0000-0000-00000E2A0000}"/>
    <cellStyle name="Normal 77 4 3" xfId="10798" xr:uid="{00000000-0005-0000-0000-00000F2A0000}"/>
    <cellStyle name="Normal 77 4 3 2" xfId="10799" xr:uid="{00000000-0005-0000-0000-0000102A0000}"/>
    <cellStyle name="Normal 77 4 4" xfId="10800" xr:uid="{00000000-0005-0000-0000-0000112A0000}"/>
    <cellStyle name="Normal 77 5" xfId="10801" xr:uid="{00000000-0005-0000-0000-0000122A0000}"/>
    <cellStyle name="Normal 77 5 2" xfId="10802" xr:uid="{00000000-0005-0000-0000-0000132A0000}"/>
    <cellStyle name="Normal 77 5 2 2" xfId="10803" xr:uid="{00000000-0005-0000-0000-0000142A0000}"/>
    <cellStyle name="Normal 77 5 3" xfId="10804" xr:uid="{00000000-0005-0000-0000-0000152A0000}"/>
    <cellStyle name="Normal 77 6" xfId="10805" xr:uid="{00000000-0005-0000-0000-0000162A0000}"/>
    <cellStyle name="Normal 77 6 2" xfId="10806" xr:uid="{00000000-0005-0000-0000-0000172A0000}"/>
    <cellStyle name="Normal 77 7" xfId="10807" xr:uid="{00000000-0005-0000-0000-0000182A0000}"/>
    <cellStyle name="Normal 77 7 2" xfId="10808" xr:uid="{00000000-0005-0000-0000-0000192A0000}"/>
    <cellStyle name="Normal 77 8" xfId="10809" xr:uid="{00000000-0005-0000-0000-00001A2A0000}"/>
    <cellStyle name="Normal 78" xfId="10810" xr:uid="{00000000-0005-0000-0000-00001B2A0000}"/>
    <cellStyle name="Normal 78 2" xfId="10811" xr:uid="{00000000-0005-0000-0000-00001C2A0000}"/>
    <cellStyle name="Normal 78 2 2" xfId="10812" xr:uid="{00000000-0005-0000-0000-00001D2A0000}"/>
    <cellStyle name="Normal 78 2 2 2" xfId="10813" xr:uid="{00000000-0005-0000-0000-00001E2A0000}"/>
    <cellStyle name="Normal 78 2 2 2 2" xfId="10814" xr:uid="{00000000-0005-0000-0000-00001F2A0000}"/>
    <cellStyle name="Normal 78 2 2 2 2 2" xfId="10815" xr:uid="{00000000-0005-0000-0000-0000202A0000}"/>
    <cellStyle name="Normal 78 2 2 2 3" xfId="10816" xr:uid="{00000000-0005-0000-0000-0000212A0000}"/>
    <cellStyle name="Normal 78 2 2 2 3 2" xfId="10817" xr:uid="{00000000-0005-0000-0000-0000222A0000}"/>
    <cellStyle name="Normal 78 2 2 2 4" xfId="10818" xr:uid="{00000000-0005-0000-0000-0000232A0000}"/>
    <cellStyle name="Normal 78 2 2 3" xfId="10819" xr:uid="{00000000-0005-0000-0000-0000242A0000}"/>
    <cellStyle name="Normal 78 2 2 3 2" xfId="10820" xr:uid="{00000000-0005-0000-0000-0000252A0000}"/>
    <cellStyle name="Normal 78 2 2 3 2 2" xfId="10821" xr:uid="{00000000-0005-0000-0000-0000262A0000}"/>
    <cellStyle name="Normal 78 2 2 3 3" xfId="10822" xr:uid="{00000000-0005-0000-0000-0000272A0000}"/>
    <cellStyle name="Normal 78 2 2 4" xfId="10823" xr:uid="{00000000-0005-0000-0000-0000282A0000}"/>
    <cellStyle name="Normal 78 2 2 4 2" xfId="10824" xr:uid="{00000000-0005-0000-0000-0000292A0000}"/>
    <cellStyle name="Normal 78 2 2 5" xfId="10825" xr:uid="{00000000-0005-0000-0000-00002A2A0000}"/>
    <cellStyle name="Normal 78 2 2 5 2" xfId="10826" xr:uid="{00000000-0005-0000-0000-00002B2A0000}"/>
    <cellStyle name="Normal 78 2 2 6" xfId="10827" xr:uid="{00000000-0005-0000-0000-00002C2A0000}"/>
    <cellStyle name="Normal 78 2 3" xfId="10828" xr:uid="{00000000-0005-0000-0000-00002D2A0000}"/>
    <cellStyle name="Normal 78 2 3 2" xfId="10829" xr:uid="{00000000-0005-0000-0000-00002E2A0000}"/>
    <cellStyle name="Normal 78 2 3 2 2" xfId="10830" xr:uid="{00000000-0005-0000-0000-00002F2A0000}"/>
    <cellStyle name="Normal 78 2 3 3" xfId="10831" xr:uid="{00000000-0005-0000-0000-0000302A0000}"/>
    <cellStyle name="Normal 78 2 3 3 2" xfId="10832" xr:uid="{00000000-0005-0000-0000-0000312A0000}"/>
    <cellStyle name="Normal 78 2 3 4" xfId="10833" xr:uid="{00000000-0005-0000-0000-0000322A0000}"/>
    <cellStyle name="Normal 78 2 4" xfId="10834" xr:uid="{00000000-0005-0000-0000-0000332A0000}"/>
    <cellStyle name="Normal 78 2 4 2" xfId="10835" xr:uid="{00000000-0005-0000-0000-0000342A0000}"/>
    <cellStyle name="Normal 78 2 4 2 2" xfId="10836" xr:uid="{00000000-0005-0000-0000-0000352A0000}"/>
    <cellStyle name="Normal 78 2 4 3" xfId="10837" xr:uid="{00000000-0005-0000-0000-0000362A0000}"/>
    <cellStyle name="Normal 78 2 5" xfId="10838" xr:uid="{00000000-0005-0000-0000-0000372A0000}"/>
    <cellStyle name="Normal 78 2 5 2" xfId="10839" xr:uid="{00000000-0005-0000-0000-0000382A0000}"/>
    <cellStyle name="Normal 78 2 6" xfId="10840" xr:uid="{00000000-0005-0000-0000-0000392A0000}"/>
    <cellStyle name="Normal 78 2 6 2" xfId="10841" xr:uid="{00000000-0005-0000-0000-00003A2A0000}"/>
    <cellStyle name="Normal 78 2 7" xfId="10842" xr:uid="{00000000-0005-0000-0000-00003B2A0000}"/>
    <cellStyle name="Normal 78 3" xfId="10843" xr:uid="{00000000-0005-0000-0000-00003C2A0000}"/>
    <cellStyle name="Normal 78 3 2" xfId="10844" xr:uid="{00000000-0005-0000-0000-00003D2A0000}"/>
    <cellStyle name="Normal 78 3 2 2" xfId="10845" xr:uid="{00000000-0005-0000-0000-00003E2A0000}"/>
    <cellStyle name="Normal 78 3 2 2 2" xfId="10846" xr:uid="{00000000-0005-0000-0000-00003F2A0000}"/>
    <cellStyle name="Normal 78 3 2 3" xfId="10847" xr:uid="{00000000-0005-0000-0000-0000402A0000}"/>
    <cellStyle name="Normal 78 3 2 3 2" xfId="10848" xr:uid="{00000000-0005-0000-0000-0000412A0000}"/>
    <cellStyle name="Normal 78 3 2 4" xfId="10849" xr:uid="{00000000-0005-0000-0000-0000422A0000}"/>
    <cellStyle name="Normal 78 3 3" xfId="10850" xr:uid="{00000000-0005-0000-0000-0000432A0000}"/>
    <cellStyle name="Normal 78 3 3 2" xfId="10851" xr:uid="{00000000-0005-0000-0000-0000442A0000}"/>
    <cellStyle name="Normal 78 3 3 2 2" xfId="10852" xr:uid="{00000000-0005-0000-0000-0000452A0000}"/>
    <cellStyle name="Normal 78 3 3 3" xfId="10853" xr:uid="{00000000-0005-0000-0000-0000462A0000}"/>
    <cellStyle name="Normal 78 3 4" xfId="10854" xr:uid="{00000000-0005-0000-0000-0000472A0000}"/>
    <cellStyle name="Normal 78 3 4 2" xfId="10855" xr:uid="{00000000-0005-0000-0000-0000482A0000}"/>
    <cellStyle name="Normal 78 3 5" xfId="10856" xr:uid="{00000000-0005-0000-0000-0000492A0000}"/>
    <cellStyle name="Normal 78 3 5 2" xfId="10857" xr:uid="{00000000-0005-0000-0000-00004A2A0000}"/>
    <cellStyle name="Normal 78 3 6" xfId="10858" xr:uid="{00000000-0005-0000-0000-00004B2A0000}"/>
    <cellStyle name="Normal 78 4" xfId="10859" xr:uid="{00000000-0005-0000-0000-00004C2A0000}"/>
    <cellStyle name="Normal 78 4 2" xfId="10860" xr:uid="{00000000-0005-0000-0000-00004D2A0000}"/>
    <cellStyle name="Normal 78 4 2 2" xfId="10861" xr:uid="{00000000-0005-0000-0000-00004E2A0000}"/>
    <cellStyle name="Normal 78 4 3" xfId="10862" xr:uid="{00000000-0005-0000-0000-00004F2A0000}"/>
    <cellStyle name="Normal 78 4 3 2" xfId="10863" xr:uid="{00000000-0005-0000-0000-0000502A0000}"/>
    <cellStyle name="Normal 78 4 4" xfId="10864" xr:uid="{00000000-0005-0000-0000-0000512A0000}"/>
    <cellStyle name="Normal 78 5" xfId="10865" xr:uid="{00000000-0005-0000-0000-0000522A0000}"/>
    <cellStyle name="Normal 78 5 2" xfId="10866" xr:uid="{00000000-0005-0000-0000-0000532A0000}"/>
    <cellStyle name="Normal 78 5 2 2" xfId="10867" xr:uid="{00000000-0005-0000-0000-0000542A0000}"/>
    <cellStyle name="Normal 78 5 3" xfId="10868" xr:uid="{00000000-0005-0000-0000-0000552A0000}"/>
    <cellStyle name="Normal 78 6" xfId="10869" xr:uid="{00000000-0005-0000-0000-0000562A0000}"/>
    <cellStyle name="Normal 78 6 2" xfId="10870" xr:uid="{00000000-0005-0000-0000-0000572A0000}"/>
    <cellStyle name="Normal 78 7" xfId="10871" xr:uid="{00000000-0005-0000-0000-0000582A0000}"/>
    <cellStyle name="Normal 78 7 2" xfId="10872" xr:uid="{00000000-0005-0000-0000-0000592A0000}"/>
    <cellStyle name="Normal 78 8" xfId="10873" xr:uid="{00000000-0005-0000-0000-00005A2A0000}"/>
    <cellStyle name="Normal 79" xfId="10874" xr:uid="{00000000-0005-0000-0000-00005B2A0000}"/>
    <cellStyle name="Normal 79 2" xfId="10875" xr:uid="{00000000-0005-0000-0000-00005C2A0000}"/>
    <cellStyle name="Normal 79 2 2" xfId="10876" xr:uid="{00000000-0005-0000-0000-00005D2A0000}"/>
    <cellStyle name="Normal 79 2 2 2" xfId="10877" xr:uid="{00000000-0005-0000-0000-00005E2A0000}"/>
    <cellStyle name="Normal 79 2 2 2 2" xfId="10878" xr:uid="{00000000-0005-0000-0000-00005F2A0000}"/>
    <cellStyle name="Normal 79 2 2 2 2 2" xfId="10879" xr:uid="{00000000-0005-0000-0000-0000602A0000}"/>
    <cellStyle name="Normal 79 2 2 2 3" xfId="10880" xr:uid="{00000000-0005-0000-0000-0000612A0000}"/>
    <cellStyle name="Normal 79 2 2 2 3 2" xfId="10881" xr:uid="{00000000-0005-0000-0000-0000622A0000}"/>
    <cellStyle name="Normal 79 2 2 2 4" xfId="10882" xr:uid="{00000000-0005-0000-0000-0000632A0000}"/>
    <cellStyle name="Normal 79 2 2 3" xfId="10883" xr:uid="{00000000-0005-0000-0000-0000642A0000}"/>
    <cellStyle name="Normal 79 2 2 3 2" xfId="10884" xr:uid="{00000000-0005-0000-0000-0000652A0000}"/>
    <cellStyle name="Normal 79 2 2 3 2 2" xfId="10885" xr:uid="{00000000-0005-0000-0000-0000662A0000}"/>
    <cellStyle name="Normal 79 2 2 3 3" xfId="10886" xr:uid="{00000000-0005-0000-0000-0000672A0000}"/>
    <cellStyle name="Normal 79 2 2 4" xfId="10887" xr:uid="{00000000-0005-0000-0000-0000682A0000}"/>
    <cellStyle name="Normal 79 2 2 4 2" xfId="10888" xr:uid="{00000000-0005-0000-0000-0000692A0000}"/>
    <cellStyle name="Normal 79 2 2 5" xfId="10889" xr:uid="{00000000-0005-0000-0000-00006A2A0000}"/>
    <cellStyle name="Normal 79 2 2 5 2" xfId="10890" xr:uid="{00000000-0005-0000-0000-00006B2A0000}"/>
    <cellStyle name="Normal 79 2 2 6" xfId="10891" xr:uid="{00000000-0005-0000-0000-00006C2A0000}"/>
    <cellStyle name="Normal 79 2 3" xfId="10892" xr:uid="{00000000-0005-0000-0000-00006D2A0000}"/>
    <cellStyle name="Normal 79 2 3 2" xfId="10893" xr:uid="{00000000-0005-0000-0000-00006E2A0000}"/>
    <cellStyle name="Normal 79 2 3 2 2" xfId="10894" xr:uid="{00000000-0005-0000-0000-00006F2A0000}"/>
    <cellStyle name="Normal 79 2 3 3" xfId="10895" xr:uid="{00000000-0005-0000-0000-0000702A0000}"/>
    <cellStyle name="Normal 79 2 3 3 2" xfId="10896" xr:uid="{00000000-0005-0000-0000-0000712A0000}"/>
    <cellStyle name="Normal 79 2 3 4" xfId="10897" xr:uid="{00000000-0005-0000-0000-0000722A0000}"/>
    <cellStyle name="Normal 79 2 4" xfId="10898" xr:uid="{00000000-0005-0000-0000-0000732A0000}"/>
    <cellStyle name="Normal 79 2 4 2" xfId="10899" xr:uid="{00000000-0005-0000-0000-0000742A0000}"/>
    <cellStyle name="Normal 79 2 4 2 2" xfId="10900" xr:uid="{00000000-0005-0000-0000-0000752A0000}"/>
    <cellStyle name="Normal 79 2 4 3" xfId="10901" xr:uid="{00000000-0005-0000-0000-0000762A0000}"/>
    <cellStyle name="Normal 79 2 5" xfId="10902" xr:uid="{00000000-0005-0000-0000-0000772A0000}"/>
    <cellStyle name="Normal 79 2 5 2" xfId="10903" xr:uid="{00000000-0005-0000-0000-0000782A0000}"/>
    <cellStyle name="Normal 79 2 6" xfId="10904" xr:uid="{00000000-0005-0000-0000-0000792A0000}"/>
    <cellStyle name="Normal 79 2 6 2" xfId="10905" xr:uid="{00000000-0005-0000-0000-00007A2A0000}"/>
    <cellStyle name="Normal 79 2 7" xfId="10906" xr:uid="{00000000-0005-0000-0000-00007B2A0000}"/>
    <cellStyle name="Normal 79 3" xfId="10907" xr:uid="{00000000-0005-0000-0000-00007C2A0000}"/>
    <cellStyle name="Normal 79 3 2" xfId="10908" xr:uid="{00000000-0005-0000-0000-00007D2A0000}"/>
    <cellStyle name="Normal 79 3 2 2" xfId="10909" xr:uid="{00000000-0005-0000-0000-00007E2A0000}"/>
    <cellStyle name="Normal 79 3 2 2 2" xfId="10910" xr:uid="{00000000-0005-0000-0000-00007F2A0000}"/>
    <cellStyle name="Normal 79 3 2 3" xfId="10911" xr:uid="{00000000-0005-0000-0000-0000802A0000}"/>
    <cellStyle name="Normal 79 3 2 3 2" xfId="10912" xr:uid="{00000000-0005-0000-0000-0000812A0000}"/>
    <cellStyle name="Normal 79 3 2 4" xfId="10913" xr:uid="{00000000-0005-0000-0000-0000822A0000}"/>
    <cellStyle name="Normal 79 3 3" xfId="10914" xr:uid="{00000000-0005-0000-0000-0000832A0000}"/>
    <cellStyle name="Normal 79 3 3 2" xfId="10915" xr:uid="{00000000-0005-0000-0000-0000842A0000}"/>
    <cellStyle name="Normal 79 3 3 2 2" xfId="10916" xr:uid="{00000000-0005-0000-0000-0000852A0000}"/>
    <cellStyle name="Normal 79 3 3 3" xfId="10917" xr:uid="{00000000-0005-0000-0000-0000862A0000}"/>
    <cellStyle name="Normal 79 3 4" xfId="10918" xr:uid="{00000000-0005-0000-0000-0000872A0000}"/>
    <cellStyle name="Normal 79 3 4 2" xfId="10919" xr:uid="{00000000-0005-0000-0000-0000882A0000}"/>
    <cellStyle name="Normal 79 3 5" xfId="10920" xr:uid="{00000000-0005-0000-0000-0000892A0000}"/>
    <cellStyle name="Normal 79 3 5 2" xfId="10921" xr:uid="{00000000-0005-0000-0000-00008A2A0000}"/>
    <cellStyle name="Normal 79 3 6" xfId="10922" xr:uid="{00000000-0005-0000-0000-00008B2A0000}"/>
    <cellStyle name="Normal 79 4" xfId="10923" xr:uid="{00000000-0005-0000-0000-00008C2A0000}"/>
    <cellStyle name="Normal 79 4 2" xfId="10924" xr:uid="{00000000-0005-0000-0000-00008D2A0000}"/>
    <cellStyle name="Normal 79 4 2 2" xfId="10925" xr:uid="{00000000-0005-0000-0000-00008E2A0000}"/>
    <cellStyle name="Normal 79 4 3" xfId="10926" xr:uid="{00000000-0005-0000-0000-00008F2A0000}"/>
    <cellStyle name="Normal 79 4 3 2" xfId="10927" xr:uid="{00000000-0005-0000-0000-0000902A0000}"/>
    <cellStyle name="Normal 79 4 4" xfId="10928" xr:uid="{00000000-0005-0000-0000-0000912A0000}"/>
    <cellStyle name="Normal 79 5" xfId="10929" xr:uid="{00000000-0005-0000-0000-0000922A0000}"/>
    <cellStyle name="Normal 79 5 2" xfId="10930" xr:uid="{00000000-0005-0000-0000-0000932A0000}"/>
    <cellStyle name="Normal 79 5 2 2" xfId="10931" xr:uid="{00000000-0005-0000-0000-0000942A0000}"/>
    <cellStyle name="Normal 79 5 3" xfId="10932" xr:uid="{00000000-0005-0000-0000-0000952A0000}"/>
    <cellStyle name="Normal 79 6" xfId="10933" xr:uid="{00000000-0005-0000-0000-0000962A0000}"/>
    <cellStyle name="Normal 79 6 2" xfId="10934" xr:uid="{00000000-0005-0000-0000-0000972A0000}"/>
    <cellStyle name="Normal 79 7" xfId="10935" xr:uid="{00000000-0005-0000-0000-0000982A0000}"/>
    <cellStyle name="Normal 79 7 2" xfId="10936" xr:uid="{00000000-0005-0000-0000-0000992A0000}"/>
    <cellStyle name="Normal 79 8" xfId="10937" xr:uid="{00000000-0005-0000-0000-00009A2A0000}"/>
    <cellStyle name="Normal 8" xfId="207" xr:uid="{00000000-0005-0000-0000-00009B2A0000}"/>
    <cellStyle name="Normal 8 2" xfId="10938" xr:uid="{00000000-0005-0000-0000-00009C2A0000}"/>
    <cellStyle name="Normal 8 2 2" xfId="10939" xr:uid="{00000000-0005-0000-0000-00009D2A0000}"/>
    <cellStyle name="Normal 8 2 2 2" xfId="10940" xr:uid="{00000000-0005-0000-0000-00009E2A0000}"/>
    <cellStyle name="Normal 8 2 3" xfId="10941" xr:uid="{00000000-0005-0000-0000-00009F2A0000}"/>
    <cellStyle name="Normal 8 2 3 2" xfId="10942" xr:uid="{00000000-0005-0000-0000-0000A02A0000}"/>
    <cellStyle name="Normal 8 2 3 2 2" xfId="10943" xr:uid="{00000000-0005-0000-0000-0000A12A0000}"/>
    <cellStyle name="Normal 8 2 3 3" xfId="10944" xr:uid="{00000000-0005-0000-0000-0000A22A0000}"/>
    <cellStyle name="Normal 8 2 4" xfId="10945" xr:uid="{00000000-0005-0000-0000-0000A32A0000}"/>
    <cellStyle name="Normal 8 3" xfId="10946" xr:uid="{00000000-0005-0000-0000-0000A42A0000}"/>
    <cellStyle name="Normal 8 3 2" xfId="10947" xr:uid="{00000000-0005-0000-0000-0000A52A0000}"/>
    <cellStyle name="Normal 8 3 2 2" xfId="10948" xr:uid="{00000000-0005-0000-0000-0000A62A0000}"/>
    <cellStyle name="Normal 8 3 3" xfId="10949" xr:uid="{00000000-0005-0000-0000-0000A72A0000}"/>
    <cellStyle name="Normal 8 4" xfId="10950" xr:uid="{00000000-0005-0000-0000-0000A82A0000}"/>
    <cellStyle name="Normal 8 4 2" xfId="10951" xr:uid="{00000000-0005-0000-0000-0000A92A0000}"/>
    <cellStyle name="Normal 8 4 2 2" xfId="10952" xr:uid="{00000000-0005-0000-0000-0000AA2A0000}"/>
    <cellStyle name="Normal 8 4 3" xfId="10953" xr:uid="{00000000-0005-0000-0000-0000AB2A0000}"/>
    <cellStyle name="Normal 8 5" xfId="10954" xr:uid="{00000000-0005-0000-0000-0000AC2A0000}"/>
    <cellStyle name="Normal 8 5 2" xfId="10955" xr:uid="{00000000-0005-0000-0000-0000AD2A0000}"/>
    <cellStyle name="Normal 8 5 2 2" xfId="10956" xr:uid="{00000000-0005-0000-0000-0000AE2A0000}"/>
    <cellStyle name="Normal 8 5 3" xfId="10957" xr:uid="{00000000-0005-0000-0000-0000AF2A0000}"/>
    <cellStyle name="Normal 8 6" xfId="10958" xr:uid="{00000000-0005-0000-0000-0000B02A0000}"/>
    <cellStyle name="Normal 8 6 2" xfId="10959" xr:uid="{00000000-0005-0000-0000-0000B12A0000}"/>
    <cellStyle name="Normal 8 7" xfId="10960" xr:uid="{00000000-0005-0000-0000-0000B22A0000}"/>
    <cellStyle name="Normal 8 7 2" xfId="10961" xr:uid="{00000000-0005-0000-0000-0000B32A0000}"/>
    <cellStyle name="Normal 8 7 2 2" xfId="10962" xr:uid="{00000000-0005-0000-0000-0000B42A0000}"/>
    <cellStyle name="Normal 8 7 3" xfId="10963" xr:uid="{00000000-0005-0000-0000-0000B52A0000}"/>
    <cellStyle name="Normal 8 8" xfId="10964" xr:uid="{00000000-0005-0000-0000-0000B62A0000}"/>
    <cellStyle name="Normal 80" xfId="10965" xr:uid="{00000000-0005-0000-0000-0000B72A0000}"/>
    <cellStyle name="Normal 80 2" xfId="10966" xr:uid="{00000000-0005-0000-0000-0000B82A0000}"/>
    <cellStyle name="Normal 80 2 2" xfId="10967" xr:uid="{00000000-0005-0000-0000-0000B92A0000}"/>
    <cellStyle name="Normal 80 2 2 2" xfId="10968" xr:uid="{00000000-0005-0000-0000-0000BA2A0000}"/>
    <cellStyle name="Normal 80 2 2 2 2" xfId="10969" xr:uid="{00000000-0005-0000-0000-0000BB2A0000}"/>
    <cellStyle name="Normal 80 2 2 2 2 2" xfId="10970" xr:uid="{00000000-0005-0000-0000-0000BC2A0000}"/>
    <cellStyle name="Normal 80 2 2 2 3" xfId="10971" xr:uid="{00000000-0005-0000-0000-0000BD2A0000}"/>
    <cellStyle name="Normal 80 2 2 2 3 2" xfId="10972" xr:uid="{00000000-0005-0000-0000-0000BE2A0000}"/>
    <cellStyle name="Normal 80 2 2 2 4" xfId="10973" xr:uid="{00000000-0005-0000-0000-0000BF2A0000}"/>
    <cellStyle name="Normal 80 2 2 3" xfId="10974" xr:uid="{00000000-0005-0000-0000-0000C02A0000}"/>
    <cellStyle name="Normal 80 2 2 3 2" xfId="10975" xr:uid="{00000000-0005-0000-0000-0000C12A0000}"/>
    <cellStyle name="Normal 80 2 2 3 2 2" xfId="10976" xr:uid="{00000000-0005-0000-0000-0000C22A0000}"/>
    <cellStyle name="Normal 80 2 2 3 3" xfId="10977" xr:uid="{00000000-0005-0000-0000-0000C32A0000}"/>
    <cellStyle name="Normal 80 2 2 4" xfId="10978" xr:uid="{00000000-0005-0000-0000-0000C42A0000}"/>
    <cellStyle name="Normal 80 2 2 4 2" xfId="10979" xr:uid="{00000000-0005-0000-0000-0000C52A0000}"/>
    <cellStyle name="Normal 80 2 2 5" xfId="10980" xr:uid="{00000000-0005-0000-0000-0000C62A0000}"/>
    <cellStyle name="Normal 80 2 2 5 2" xfId="10981" xr:uid="{00000000-0005-0000-0000-0000C72A0000}"/>
    <cellStyle name="Normal 80 2 2 6" xfId="10982" xr:uid="{00000000-0005-0000-0000-0000C82A0000}"/>
    <cellStyle name="Normal 80 2 3" xfId="10983" xr:uid="{00000000-0005-0000-0000-0000C92A0000}"/>
    <cellStyle name="Normal 80 2 3 2" xfId="10984" xr:uid="{00000000-0005-0000-0000-0000CA2A0000}"/>
    <cellStyle name="Normal 80 2 3 2 2" xfId="10985" xr:uid="{00000000-0005-0000-0000-0000CB2A0000}"/>
    <cellStyle name="Normal 80 2 3 3" xfId="10986" xr:uid="{00000000-0005-0000-0000-0000CC2A0000}"/>
    <cellStyle name="Normal 80 2 3 3 2" xfId="10987" xr:uid="{00000000-0005-0000-0000-0000CD2A0000}"/>
    <cellStyle name="Normal 80 2 3 4" xfId="10988" xr:uid="{00000000-0005-0000-0000-0000CE2A0000}"/>
    <cellStyle name="Normal 80 2 4" xfId="10989" xr:uid="{00000000-0005-0000-0000-0000CF2A0000}"/>
    <cellStyle name="Normal 80 2 4 2" xfId="10990" xr:uid="{00000000-0005-0000-0000-0000D02A0000}"/>
    <cellStyle name="Normal 80 2 4 2 2" xfId="10991" xr:uid="{00000000-0005-0000-0000-0000D12A0000}"/>
    <cellStyle name="Normal 80 2 4 3" xfId="10992" xr:uid="{00000000-0005-0000-0000-0000D22A0000}"/>
    <cellStyle name="Normal 80 2 5" xfId="10993" xr:uid="{00000000-0005-0000-0000-0000D32A0000}"/>
    <cellStyle name="Normal 80 2 5 2" xfId="10994" xr:uid="{00000000-0005-0000-0000-0000D42A0000}"/>
    <cellStyle name="Normal 80 2 6" xfId="10995" xr:uid="{00000000-0005-0000-0000-0000D52A0000}"/>
    <cellStyle name="Normal 80 2 6 2" xfId="10996" xr:uid="{00000000-0005-0000-0000-0000D62A0000}"/>
    <cellStyle name="Normal 80 2 7" xfId="10997" xr:uid="{00000000-0005-0000-0000-0000D72A0000}"/>
    <cellStyle name="Normal 80 3" xfId="10998" xr:uid="{00000000-0005-0000-0000-0000D82A0000}"/>
    <cellStyle name="Normal 80 3 2" xfId="10999" xr:uid="{00000000-0005-0000-0000-0000D92A0000}"/>
    <cellStyle name="Normal 80 3 2 2" xfId="11000" xr:uid="{00000000-0005-0000-0000-0000DA2A0000}"/>
    <cellStyle name="Normal 80 3 2 2 2" xfId="11001" xr:uid="{00000000-0005-0000-0000-0000DB2A0000}"/>
    <cellStyle name="Normal 80 3 2 3" xfId="11002" xr:uid="{00000000-0005-0000-0000-0000DC2A0000}"/>
    <cellStyle name="Normal 80 3 2 3 2" xfId="11003" xr:uid="{00000000-0005-0000-0000-0000DD2A0000}"/>
    <cellStyle name="Normal 80 3 2 4" xfId="11004" xr:uid="{00000000-0005-0000-0000-0000DE2A0000}"/>
    <cellStyle name="Normal 80 3 3" xfId="11005" xr:uid="{00000000-0005-0000-0000-0000DF2A0000}"/>
    <cellStyle name="Normal 80 3 3 2" xfId="11006" xr:uid="{00000000-0005-0000-0000-0000E02A0000}"/>
    <cellStyle name="Normal 80 3 3 2 2" xfId="11007" xr:uid="{00000000-0005-0000-0000-0000E12A0000}"/>
    <cellStyle name="Normal 80 3 3 3" xfId="11008" xr:uid="{00000000-0005-0000-0000-0000E22A0000}"/>
    <cellStyle name="Normal 80 3 4" xfId="11009" xr:uid="{00000000-0005-0000-0000-0000E32A0000}"/>
    <cellStyle name="Normal 80 3 4 2" xfId="11010" xr:uid="{00000000-0005-0000-0000-0000E42A0000}"/>
    <cellStyle name="Normal 80 3 5" xfId="11011" xr:uid="{00000000-0005-0000-0000-0000E52A0000}"/>
    <cellStyle name="Normal 80 3 5 2" xfId="11012" xr:uid="{00000000-0005-0000-0000-0000E62A0000}"/>
    <cellStyle name="Normal 80 3 6" xfId="11013" xr:uid="{00000000-0005-0000-0000-0000E72A0000}"/>
    <cellStyle name="Normal 80 4" xfId="11014" xr:uid="{00000000-0005-0000-0000-0000E82A0000}"/>
    <cellStyle name="Normal 80 4 2" xfId="11015" xr:uid="{00000000-0005-0000-0000-0000E92A0000}"/>
    <cellStyle name="Normal 80 4 2 2" xfId="11016" xr:uid="{00000000-0005-0000-0000-0000EA2A0000}"/>
    <cellStyle name="Normal 80 4 3" xfId="11017" xr:uid="{00000000-0005-0000-0000-0000EB2A0000}"/>
    <cellStyle name="Normal 80 4 3 2" xfId="11018" xr:uid="{00000000-0005-0000-0000-0000EC2A0000}"/>
    <cellStyle name="Normal 80 4 4" xfId="11019" xr:uid="{00000000-0005-0000-0000-0000ED2A0000}"/>
    <cellStyle name="Normal 80 5" xfId="11020" xr:uid="{00000000-0005-0000-0000-0000EE2A0000}"/>
    <cellStyle name="Normal 80 5 2" xfId="11021" xr:uid="{00000000-0005-0000-0000-0000EF2A0000}"/>
    <cellStyle name="Normal 80 5 2 2" xfId="11022" xr:uid="{00000000-0005-0000-0000-0000F02A0000}"/>
    <cellStyle name="Normal 80 5 3" xfId="11023" xr:uid="{00000000-0005-0000-0000-0000F12A0000}"/>
    <cellStyle name="Normal 80 6" xfId="11024" xr:uid="{00000000-0005-0000-0000-0000F22A0000}"/>
    <cellStyle name="Normal 80 6 2" xfId="11025" xr:uid="{00000000-0005-0000-0000-0000F32A0000}"/>
    <cellStyle name="Normal 80 7" xfId="11026" xr:uid="{00000000-0005-0000-0000-0000F42A0000}"/>
    <cellStyle name="Normal 80 7 2" xfId="11027" xr:uid="{00000000-0005-0000-0000-0000F52A0000}"/>
    <cellStyle name="Normal 80 8" xfId="11028" xr:uid="{00000000-0005-0000-0000-0000F62A0000}"/>
    <cellStyle name="Normal 81" xfId="11029" xr:uid="{00000000-0005-0000-0000-0000F72A0000}"/>
    <cellStyle name="Normal 81 2" xfId="11030" xr:uid="{00000000-0005-0000-0000-0000F82A0000}"/>
    <cellStyle name="Normal 81 2 2" xfId="11031" xr:uid="{00000000-0005-0000-0000-0000F92A0000}"/>
    <cellStyle name="Normal 81 2 2 2" xfId="11032" xr:uid="{00000000-0005-0000-0000-0000FA2A0000}"/>
    <cellStyle name="Normal 81 2 2 2 2" xfId="11033" xr:uid="{00000000-0005-0000-0000-0000FB2A0000}"/>
    <cellStyle name="Normal 81 2 2 2 2 2" xfId="11034" xr:uid="{00000000-0005-0000-0000-0000FC2A0000}"/>
    <cellStyle name="Normal 81 2 2 2 3" xfId="11035" xr:uid="{00000000-0005-0000-0000-0000FD2A0000}"/>
    <cellStyle name="Normal 81 2 2 2 3 2" xfId="11036" xr:uid="{00000000-0005-0000-0000-0000FE2A0000}"/>
    <cellStyle name="Normal 81 2 2 2 4" xfId="11037" xr:uid="{00000000-0005-0000-0000-0000FF2A0000}"/>
    <cellStyle name="Normal 81 2 2 3" xfId="11038" xr:uid="{00000000-0005-0000-0000-0000002B0000}"/>
    <cellStyle name="Normal 81 2 2 3 2" xfId="11039" xr:uid="{00000000-0005-0000-0000-0000012B0000}"/>
    <cellStyle name="Normal 81 2 2 3 2 2" xfId="11040" xr:uid="{00000000-0005-0000-0000-0000022B0000}"/>
    <cellStyle name="Normal 81 2 2 3 3" xfId="11041" xr:uid="{00000000-0005-0000-0000-0000032B0000}"/>
    <cellStyle name="Normal 81 2 2 4" xfId="11042" xr:uid="{00000000-0005-0000-0000-0000042B0000}"/>
    <cellStyle name="Normal 81 2 2 4 2" xfId="11043" xr:uid="{00000000-0005-0000-0000-0000052B0000}"/>
    <cellStyle name="Normal 81 2 2 5" xfId="11044" xr:uid="{00000000-0005-0000-0000-0000062B0000}"/>
    <cellStyle name="Normal 81 2 2 5 2" xfId="11045" xr:uid="{00000000-0005-0000-0000-0000072B0000}"/>
    <cellStyle name="Normal 81 2 2 6" xfId="11046" xr:uid="{00000000-0005-0000-0000-0000082B0000}"/>
    <cellStyle name="Normal 81 2 3" xfId="11047" xr:uid="{00000000-0005-0000-0000-0000092B0000}"/>
    <cellStyle name="Normal 81 2 3 2" xfId="11048" xr:uid="{00000000-0005-0000-0000-00000A2B0000}"/>
    <cellStyle name="Normal 81 2 3 2 2" xfId="11049" xr:uid="{00000000-0005-0000-0000-00000B2B0000}"/>
    <cellStyle name="Normal 81 2 3 3" xfId="11050" xr:uid="{00000000-0005-0000-0000-00000C2B0000}"/>
    <cellStyle name="Normal 81 2 3 3 2" xfId="11051" xr:uid="{00000000-0005-0000-0000-00000D2B0000}"/>
    <cellStyle name="Normal 81 2 3 4" xfId="11052" xr:uid="{00000000-0005-0000-0000-00000E2B0000}"/>
    <cellStyle name="Normal 81 2 4" xfId="11053" xr:uid="{00000000-0005-0000-0000-00000F2B0000}"/>
    <cellStyle name="Normal 81 2 4 2" xfId="11054" xr:uid="{00000000-0005-0000-0000-0000102B0000}"/>
    <cellStyle name="Normal 81 2 4 2 2" xfId="11055" xr:uid="{00000000-0005-0000-0000-0000112B0000}"/>
    <cellStyle name="Normal 81 2 4 3" xfId="11056" xr:uid="{00000000-0005-0000-0000-0000122B0000}"/>
    <cellStyle name="Normal 81 2 5" xfId="11057" xr:uid="{00000000-0005-0000-0000-0000132B0000}"/>
    <cellStyle name="Normal 81 2 5 2" xfId="11058" xr:uid="{00000000-0005-0000-0000-0000142B0000}"/>
    <cellStyle name="Normal 81 2 6" xfId="11059" xr:uid="{00000000-0005-0000-0000-0000152B0000}"/>
    <cellStyle name="Normal 81 2 6 2" xfId="11060" xr:uid="{00000000-0005-0000-0000-0000162B0000}"/>
    <cellStyle name="Normal 81 2 7" xfId="11061" xr:uid="{00000000-0005-0000-0000-0000172B0000}"/>
    <cellStyle name="Normal 81 3" xfId="11062" xr:uid="{00000000-0005-0000-0000-0000182B0000}"/>
    <cellStyle name="Normal 81 3 2" xfId="11063" xr:uid="{00000000-0005-0000-0000-0000192B0000}"/>
    <cellStyle name="Normal 81 3 2 2" xfId="11064" xr:uid="{00000000-0005-0000-0000-00001A2B0000}"/>
    <cellStyle name="Normal 81 3 2 2 2" xfId="11065" xr:uid="{00000000-0005-0000-0000-00001B2B0000}"/>
    <cellStyle name="Normal 81 3 2 3" xfId="11066" xr:uid="{00000000-0005-0000-0000-00001C2B0000}"/>
    <cellStyle name="Normal 81 3 2 3 2" xfId="11067" xr:uid="{00000000-0005-0000-0000-00001D2B0000}"/>
    <cellStyle name="Normal 81 3 2 4" xfId="11068" xr:uid="{00000000-0005-0000-0000-00001E2B0000}"/>
    <cellStyle name="Normal 81 3 3" xfId="11069" xr:uid="{00000000-0005-0000-0000-00001F2B0000}"/>
    <cellStyle name="Normal 81 3 3 2" xfId="11070" xr:uid="{00000000-0005-0000-0000-0000202B0000}"/>
    <cellStyle name="Normal 81 3 3 2 2" xfId="11071" xr:uid="{00000000-0005-0000-0000-0000212B0000}"/>
    <cellStyle name="Normal 81 3 3 3" xfId="11072" xr:uid="{00000000-0005-0000-0000-0000222B0000}"/>
    <cellStyle name="Normal 81 3 4" xfId="11073" xr:uid="{00000000-0005-0000-0000-0000232B0000}"/>
    <cellStyle name="Normal 81 3 4 2" xfId="11074" xr:uid="{00000000-0005-0000-0000-0000242B0000}"/>
    <cellStyle name="Normal 81 3 5" xfId="11075" xr:uid="{00000000-0005-0000-0000-0000252B0000}"/>
    <cellStyle name="Normal 81 3 5 2" xfId="11076" xr:uid="{00000000-0005-0000-0000-0000262B0000}"/>
    <cellStyle name="Normal 81 3 6" xfId="11077" xr:uid="{00000000-0005-0000-0000-0000272B0000}"/>
    <cellStyle name="Normal 81 4" xfId="11078" xr:uid="{00000000-0005-0000-0000-0000282B0000}"/>
    <cellStyle name="Normal 81 4 2" xfId="11079" xr:uid="{00000000-0005-0000-0000-0000292B0000}"/>
    <cellStyle name="Normal 81 4 2 2" xfId="11080" xr:uid="{00000000-0005-0000-0000-00002A2B0000}"/>
    <cellStyle name="Normal 81 4 3" xfId="11081" xr:uid="{00000000-0005-0000-0000-00002B2B0000}"/>
    <cellStyle name="Normal 81 4 3 2" xfId="11082" xr:uid="{00000000-0005-0000-0000-00002C2B0000}"/>
    <cellStyle name="Normal 81 4 4" xfId="11083" xr:uid="{00000000-0005-0000-0000-00002D2B0000}"/>
    <cellStyle name="Normal 81 5" xfId="11084" xr:uid="{00000000-0005-0000-0000-00002E2B0000}"/>
    <cellStyle name="Normal 81 5 2" xfId="11085" xr:uid="{00000000-0005-0000-0000-00002F2B0000}"/>
    <cellStyle name="Normal 81 5 2 2" xfId="11086" xr:uid="{00000000-0005-0000-0000-0000302B0000}"/>
    <cellStyle name="Normal 81 5 3" xfId="11087" xr:uid="{00000000-0005-0000-0000-0000312B0000}"/>
    <cellStyle name="Normal 81 6" xfId="11088" xr:uid="{00000000-0005-0000-0000-0000322B0000}"/>
    <cellStyle name="Normal 81 6 2" xfId="11089" xr:uid="{00000000-0005-0000-0000-0000332B0000}"/>
    <cellStyle name="Normal 81 7" xfId="11090" xr:uid="{00000000-0005-0000-0000-0000342B0000}"/>
    <cellStyle name="Normal 81 7 2" xfId="11091" xr:uid="{00000000-0005-0000-0000-0000352B0000}"/>
    <cellStyle name="Normal 81 8" xfId="11092" xr:uid="{00000000-0005-0000-0000-0000362B0000}"/>
    <cellStyle name="Normal 82" xfId="11093" xr:uid="{00000000-0005-0000-0000-0000372B0000}"/>
    <cellStyle name="Normal 82 2" xfId="11094" xr:uid="{00000000-0005-0000-0000-0000382B0000}"/>
    <cellStyle name="Normal 82 2 2" xfId="11095" xr:uid="{00000000-0005-0000-0000-0000392B0000}"/>
    <cellStyle name="Normal 82 2 2 2" xfId="11096" xr:uid="{00000000-0005-0000-0000-00003A2B0000}"/>
    <cellStyle name="Normal 82 2 2 2 2" xfId="11097" xr:uid="{00000000-0005-0000-0000-00003B2B0000}"/>
    <cellStyle name="Normal 82 2 2 2 2 2" xfId="11098" xr:uid="{00000000-0005-0000-0000-00003C2B0000}"/>
    <cellStyle name="Normal 82 2 2 2 3" xfId="11099" xr:uid="{00000000-0005-0000-0000-00003D2B0000}"/>
    <cellStyle name="Normal 82 2 2 2 3 2" xfId="11100" xr:uid="{00000000-0005-0000-0000-00003E2B0000}"/>
    <cellStyle name="Normal 82 2 2 2 4" xfId="11101" xr:uid="{00000000-0005-0000-0000-00003F2B0000}"/>
    <cellStyle name="Normal 82 2 2 3" xfId="11102" xr:uid="{00000000-0005-0000-0000-0000402B0000}"/>
    <cellStyle name="Normal 82 2 2 3 2" xfId="11103" xr:uid="{00000000-0005-0000-0000-0000412B0000}"/>
    <cellStyle name="Normal 82 2 2 3 2 2" xfId="11104" xr:uid="{00000000-0005-0000-0000-0000422B0000}"/>
    <cellStyle name="Normal 82 2 2 3 3" xfId="11105" xr:uid="{00000000-0005-0000-0000-0000432B0000}"/>
    <cellStyle name="Normal 82 2 2 4" xfId="11106" xr:uid="{00000000-0005-0000-0000-0000442B0000}"/>
    <cellStyle name="Normal 82 2 2 4 2" xfId="11107" xr:uid="{00000000-0005-0000-0000-0000452B0000}"/>
    <cellStyle name="Normal 82 2 2 5" xfId="11108" xr:uid="{00000000-0005-0000-0000-0000462B0000}"/>
    <cellStyle name="Normal 82 2 2 5 2" xfId="11109" xr:uid="{00000000-0005-0000-0000-0000472B0000}"/>
    <cellStyle name="Normal 82 2 2 6" xfId="11110" xr:uid="{00000000-0005-0000-0000-0000482B0000}"/>
    <cellStyle name="Normal 82 2 3" xfId="11111" xr:uid="{00000000-0005-0000-0000-0000492B0000}"/>
    <cellStyle name="Normal 82 2 3 2" xfId="11112" xr:uid="{00000000-0005-0000-0000-00004A2B0000}"/>
    <cellStyle name="Normal 82 2 3 2 2" xfId="11113" xr:uid="{00000000-0005-0000-0000-00004B2B0000}"/>
    <cellStyle name="Normal 82 2 3 3" xfId="11114" xr:uid="{00000000-0005-0000-0000-00004C2B0000}"/>
    <cellStyle name="Normal 82 2 3 3 2" xfId="11115" xr:uid="{00000000-0005-0000-0000-00004D2B0000}"/>
    <cellStyle name="Normal 82 2 3 4" xfId="11116" xr:uid="{00000000-0005-0000-0000-00004E2B0000}"/>
    <cellStyle name="Normal 82 2 4" xfId="11117" xr:uid="{00000000-0005-0000-0000-00004F2B0000}"/>
    <cellStyle name="Normal 82 2 4 2" xfId="11118" xr:uid="{00000000-0005-0000-0000-0000502B0000}"/>
    <cellStyle name="Normal 82 2 4 2 2" xfId="11119" xr:uid="{00000000-0005-0000-0000-0000512B0000}"/>
    <cellStyle name="Normal 82 2 4 3" xfId="11120" xr:uid="{00000000-0005-0000-0000-0000522B0000}"/>
    <cellStyle name="Normal 82 2 5" xfId="11121" xr:uid="{00000000-0005-0000-0000-0000532B0000}"/>
    <cellStyle name="Normal 82 2 5 2" xfId="11122" xr:uid="{00000000-0005-0000-0000-0000542B0000}"/>
    <cellStyle name="Normal 82 2 6" xfId="11123" xr:uid="{00000000-0005-0000-0000-0000552B0000}"/>
    <cellStyle name="Normal 82 2 6 2" xfId="11124" xr:uid="{00000000-0005-0000-0000-0000562B0000}"/>
    <cellStyle name="Normal 82 2 7" xfId="11125" xr:uid="{00000000-0005-0000-0000-0000572B0000}"/>
    <cellStyle name="Normal 82 3" xfId="11126" xr:uid="{00000000-0005-0000-0000-0000582B0000}"/>
    <cellStyle name="Normal 82 3 2" xfId="11127" xr:uid="{00000000-0005-0000-0000-0000592B0000}"/>
    <cellStyle name="Normal 82 3 2 2" xfId="11128" xr:uid="{00000000-0005-0000-0000-00005A2B0000}"/>
    <cellStyle name="Normal 82 3 2 2 2" xfId="11129" xr:uid="{00000000-0005-0000-0000-00005B2B0000}"/>
    <cellStyle name="Normal 82 3 2 3" xfId="11130" xr:uid="{00000000-0005-0000-0000-00005C2B0000}"/>
    <cellStyle name="Normal 82 3 2 3 2" xfId="11131" xr:uid="{00000000-0005-0000-0000-00005D2B0000}"/>
    <cellStyle name="Normal 82 3 2 4" xfId="11132" xr:uid="{00000000-0005-0000-0000-00005E2B0000}"/>
    <cellStyle name="Normal 82 3 3" xfId="11133" xr:uid="{00000000-0005-0000-0000-00005F2B0000}"/>
    <cellStyle name="Normal 82 3 3 2" xfId="11134" xr:uid="{00000000-0005-0000-0000-0000602B0000}"/>
    <cellStyle name="Normal 82 3 3 2 2" xfId="11135" xr:uid="{00000000-0005-0000-0000-0000612B0000}"/>
    <cellStyle name="Normal 82 3 3 3" xfId="11136" xr:uid="{00000000-0005-0000-0000-0000622B0000}"/>
    <cellStyle name="Normal 82 3 4" xfId="11137" xr:uid="{00000000-0005-0000-0000-0000632B0000}"/>
    <cellStyle name="Normal 82 3 4 2" xfId="11138" xr:uid="{00000000-0005-0000-0000-0000642B0000}"/>
    <cellStyle name="Normal 82 3 5" xfId="11139" xr:uid="{00000000-0005-0000-0000-0000652B0000}"/>
    <cellStyle name="Normal 82 3 5 2" xfId="11140" xr:uid="{00000000-0005-0000-0000-0000662B0000}"/>
    <cellStyle name="Normal 82 3 6" xfId="11141" xr:uid="{00000000-0005-0000-0000-0000672B0000}"/>
    <cellStyle name="Normal 82 4" xfId="11142" xr:uid="{00000000-0005-0000-0000-0000682B0000}"/>
    <cellStyle name="Normal 82 4 2" xfId="11143" xr:uid="{00000000-0005-0000-0000-0000692B0000}"/>
    <cellStyle name="Normal 82 4 2 2" xfId="11144" xr:uid="{00000000-0005-0000-0000-00006A2B0000}"/>
    <cellStyle name="Normal 82 4 3" xfId="11145" xr:uid="{00000000-0005-0000-0000-00006B2B0000}"/>
    <cellStyle name="Normal 82 4 3 2" xfId="11146" xr:uid="{00000000-0005-0000-0000-00006C2B0000}"/>
    <cellStyle name="Normal 82 4 4" xfId="11147" xr:uid="{00000000-0005-0000-0000-00006D2B0000}"/>
    <cellStyle name="Normal 82 5" xfId="11148" xr:uid="{00000000-0005-0000-0000-00006E2B0000}"/>
    <cellStyle name="Normal 82 5 2" xfId="11149" xr:uid="{00000000-0005-0000-0000-00006F2B0000}"/>
    <cellStyle name="Normal 82 5 2 2" xfId="11150" xr:uid="{00000000-0005-0000-0000-0000702B0000}"/>
    <cellStyle name="Normal 82 5 3" xfId="11151" xr:uid="{00000000-0005-0000-0000-0000712B0000}"/>
    <cellStyle name="Normal 82 6" xfId="11152" xr:uid="{00000000-0005-0000-0000-0000722B0000}"/>
    <cellStyle name="Normal 82 6 2" xfId="11153" xr:uid="{00000000-0005-0000-0000-0000732B0000}"/>
    <cellStyle name="Normal 82 7" xfId="11154" xr:uid="{00000000-0005-0000-0000-0000742B0000}"/>
    <cellStyle name="Normal 82 7 2" xfId="11155" xr:uid="{00000000-0005-0000-0000-0000752B0000}"/>
    <cellStyle name="Normal 82 8" xfId="11156" xr:uid="{00000000-0005-0000-0000-0000762B0000}"/>
    <cellStyle name="Normal 83" xfId="11157" xr:uid="{00000000-0005-0000-0000-0000772B0000}"/>
    <cellStyle name="Normal 83 2" xfId="11158" xr:uid="{00000000-0005-0000-0000-0000782B0000}"/>
    <cellStyle name="Normal 83 2 2" xfId="11159" xr:uid="{00000000-0005-0000-0000-0000792B0000}"/>
    <cellStyle name="Normal 83 2 2 2" xfId="11160" xr:uid="{00000000-0005-0000-0000-00007A2B0000}"/>
    <cellStyle name="Normal 83 2 2 2 2" xfId="11161" xr:uid="{00000000-0005-0000-0000-00007B2B0000}"/>
    <cellStyle name="Normal 83 2 2 2 2 2" xfId="11162" xr:uid="{00000000-0005-0000-0000-00007C2B0000}"/>
    <cellStyle name="Normal 83 2 2 2 3" xfId="11163" xr:uid="{00000000-0005-0000-0000-00007D2B0000}"/>
    <cellStyle name="Normal 83 2 2 2 3 2" xfId="11164" xr:uid="{00000000-0005-0000-0000-00007E2B0000}"/>
    <cellStyle name="Normal 83 2 2 2 4" xfId="11165" xr:uid="{00000000-0005-0000-0000-00007F2B0000}"/>
    <cellStyle name="Normal 83 2 2 3" xfId="11166" xr:uid="{00000000-0005-0000-0000-0000802B0000}"/>
    <cellStyle name="Normal 83 2 2 3 2" xfId="11167" xr:uid="{00000000-0005-0000-0000-0000812B0000}"/>
    <cellStyle name="Normal 83 2 2 3 2 2" xfId="11168" xr:uid="{00000000-0005-0000-0000-0000822B0000}"/>
    <cellStyle name="Normal 83 2 2 3 3" xfId="11169" xr:uid="{00000000-0005-0000-0000-0000832B0000}"/>
    <cellStyle name="Normal 83 2 2 4" xfId="11170" xr:uid="{00000000-0005-0000-0000-0000842B0000}"/>
    <cellStyle name="Normal 83 2 2 4 2" xfId="11171" xr:uid="{00000000-0005-0000-0000-0000852B0000}"/>
    <cellStyle name="Normal 83 2 2 5" xfId="11172" xr:uid="{00000000-0005-0000-0000-0000862B0000}"/>
    <cellStyle name="Normal 83 2 2 5 2" xfId="11173" xr:uid="{00000000-0005-0000-0000-0000872B0000}"/>
    <cellStyle name="Normal 83 2 2 6" xfId="11174" xr:uid="{00000000-0005-0000-0000-0000882B0000}"/>
    <cellStyle name="Normal 83 2 3" xfId="11175" xr:uid="{00000000-0005-0000-0000-0000892B0000}"/>
    <cellStyle name="Normal 83 2 3 2" xfId="11176" xr:uid="{00000000-0005-0000-0000-00008A2B0000}"/>
    <cellStyle name="Normal 83 2 3 2 2" xfId="11177" xr:uid="{00000000-0005-0000-0000-00008B2B0000}"/>
    <cellStyle name="Normal 83 2 3 3" xfId="11178" xr:uid="{00000000-0005-0000-0000-00008C2B0000}"/>
    <cellStyle name="Normal 83 2 3 3 2" xfId="11179" xr:uid="{00000000-0005-0000-0000-00008D2B0000}"/>
    <cellStyle name="Normal 83 2 3 4" xfId="11180" xr:uid="{00000000-0005-0000-0000-00008E2B0000}"/>
    <cellStyle name="Normal 83 2 4" xfId="11181" xr:uid="{00000000-0005-0000-0000-00008F2B0000}"/>
    <cellStyle name="Normal 83 2 4 2" xfId="11182" xr:uid="{00000000-0005-0000-0000-0000902B0000}"/>
    <cellStyle name="Normal 83 2 4 2 2" xfId="11183" xr:uid="{00000000-0005-0000-0000-0000912B0000}"/>
    <cellStyle name="Normal 83 2 4 3" xfId="11184" xr:uid="{00000000-0005-0000-0000-0000922B0000}"/>
    <cellStyle name="Normal 83 2 5" xfId="11185" xr:uid="{00000000-0005-0000-0000-0000932B0000}"/>
    <cellStyle name="Normal 83 2 5 2" xfId="11186" xr:uid="{00000000-0005-0000-0000-0000942B0000}"/>
    <cellStyle name="Normal 83 2 6" xfId="11187" xr:uid="{00000000-0005-0000-0000-0000952B0000}"/>
    <cellStyle name="Normal 83 2 6 2" xfId="11188" xr:uid="{00000000-0005-0000-0000-0000962B0000}"/>
    <cellStyle name="Normal 83 2 7" xfId="11189" xr:uid="{00000000-0005-0000-0000-0000972B0000}"/>
    <cellStyle name="Normal 83 3" xfId="11190" xr:uid="{00000000-0005-0000-0000-0000982B0000}"/>
    <cellStyle name="Normal 83 3 2" xfId="11191" xr:uid="{00000000-0005-0000-0000-0000992B0000}"/>
    <cellStyle name="Normal 83 3 2 2" xfId="11192" xr:uid="{00000000-0005-0000-0000-00009A2B0000}"/>
    <cellStyle name="Normal 83 3 2 2 2" xfId="11193" xr:uid="{00000000-0005-0000-0000-00009B2B0000}"/>
    <cellStyle name="Normal 83 3 2 3" xfId="11194" xr:uid="{00000000-0005-0000-0000-00009C2B0000}"/>
    <cellStyle name="Normal 83 3 2 3 2" xfId="11195" xr:uid="{00000000-0005-0000-0000-00009D2B0000}"/>
    <cellStyle name="Normal 83 3 2 4" xfId="11196" xr:uid="{00000000-0005-0000-0000-00009E2B0000}"/>
    <cellStyle name="Normal 83 3 3" xfId="11197" xr:uid="{00000000-0005-0000-0000-00009F2B0000}"/>
    <cellStyle name="Normal 83 3 3 2" xfId="11198" xr:uid="{00000000-0005-0000-0000-0000A02B0000}"/>
    <cellStyle name="Normal 83 3 3 2 2" xfId="11199" xr:uid="{00000000-0005-0000-0000-0000A12B0000}"/>
    <cellStyle name="Normal 83 3 3 3" xfId="11200" xr:uid="{00000000-0005-0000-0000-0000A22B0000}"/>
    <cellStyle name="Normal 83 3 4" xfId="11201" xr:uid="{00000000-0005-0000-0000-0000A32B0000}"/>
    <cellStyle name="Normal 83 3 4 2" xfId="11202" xr:uid="{00000000-0005-0000-0000-0000A42B0000}"/>
    <cellStyle name="Normal 83 3 5" xfId="11203" xr:uid="{00000000-0005-0000-0000-0000A52B0000}"/>
    <cellStyle name="Normal 83 3 5 2" xfId="11204" xr:uid="{00000000-0005-0000-0000-0000A62B0000}"/>
    <cellStyle name="Normal 83 3 6" xfId="11205" xr:uid="{00000000-0005-0000-0000-0000A72B0000}"/>
    <cellStyle name="Normal 83 4" xfId="11206" xr:uid="{00000000-0005-0000-0000-0000A82B0000}"/>
    <cellStyle name="Normal 83 4 2" xfId="11207" xr:uid="{00000000-0005-0000-0000-0000A92B0000}"/>
    <cellStyle name="Normal 83 4 2 2" xfId="11208" xr:uid="{00000000-0005-0000-0000-0000AA2B0000}"/>
    <cellStyle name="Normal 83 4 3" xfId="11209" xr:uid="{00000000-0005-0000-0000-0000AB2B0000}"/>
    <cellStyle name="Normal 83 4 3 2" xfId="11210" xr:uid="{00000000-0005-0000-0000-0000AC2B0000}"/>
    <cellStyle name="Normal 83 4 4" xfId="11211" xr:uid="{00000000-0005-0000-0000-0000AD2B0000}"/>
    <cellStyle name="Normal 83 5" xfId="11212" xr:uid="{00000000-0005-0000-0000-0000AE2B0000}"/>
    <cellStyle name="Normal 83 5 2" xfId="11213" xr:uid="{00000000-0005-0000-0000-0000AF2B0000}"/>
    <cellStyle name="Normal 83 5 2 2" xfId="11214" xr:uid="{00000000-0005-0000-0000-0000B02B0000}"/>
    <cellStyle name="Normal 83 5 3" xfId="11215" xr:uid="{00000000-0005-0000-0000-0000B12B0000}"/>
    <cellStyle name="Normal 83 6" xfId="11216" xr:uid="{00000000-0005-0000-0000-0000B22B0000}"/>
    <cellStyle name="Normal 83 6 2" xfId="11217" xr:uid="{00000000-0005-0000-0000-0000B32B0000}"/>
    <cellStyle name="Normal 83 7" xfId="11218" xr:uid="{00000000-0005-0000-0000-0000B42B0000}"/>
    <cellStyle name="Normal 83 7 2" xfId="11219" xr:uid="{00000000-0005-0000-0000-0000B52B0000}"/>
    <cellStyle name="Normal 83 8" xfId="11220" xr:uid="{00000000-0005-0000-0000-0000B62B0000}"/>
    <cellStyle name="Normal 84" xfId="11221" xr:uid="{00000000-0005-0000-0000-0000B72B0000}"/>
    <cellStyle name="Normal 84 2" xfId="11222" xr:uid="{00000000-0005-0000-0000-0000B82B0000}"/>
    <cellStyle name="Normal 84 2 2" xfId="11223" xr:uid="{00000000-0005-0000-0000-0000B92B0000}"/>
    <cellStyle name="Normal 84 2 2 2" xfId="11224" xr:uid="{00000000-0005-0000-0000-0000BA2B0000}"/>
    <cellStyle name="Normal 84 2 2 2 2" xfId="11225" xr:uid="{00000000-0005-0000-0000-0000BB2B0000}"/>
    <cellStyle name="Normal 84 2 2 2 2 2" xfId="11226" xr:uid="{00000000-0005-0000-0000-0000BC2B0000}"/>
    <cellStyle name="Normal 84 2 2 2 3" xfId="11227" xr:uid="{00000000-0005-0000-0000-0000BD2B0000}"/>
    <cellStyle name="Normal 84 2 2 2 3 2" xfId="11228" xr:uid="{00000000-0005-0000-0000-0000BE2B0000}"/>
    <cellStyle name="Normal 84 2 2 2 4" xfId="11229" xr:uid="{00000000-0005-0000-0000-0000BF2B0000}"/>
    <cellStyle name="Normal 84 2 2 3" xfId="11230" xr:uid="{00000000-0005-0000-0000-0000C02B0000}"/>
    <cellStyle name="Normal 84 2 2 3 2" xfId="11231" xr:uid="{00000000-0005-0000-0000-0000C12B0000}"/>
    <cellStyle name="Normal 84 2 2 3 2 2" xfId="11232" xr:uid="{00000000-0005-0000-0000-0000C22B0000}"/>
    <cellStyle name="Normal 84 2 2 3 3" xfId="11233" xr:uid="{00000000-0005-0000-0000-0000C32B0000}"/>
    <cellStyle name="Normal 84 2 2 4" xfId="11234" xr:uid="{00000000-0005-0000-0000-0000C42B0000}"/>
    <cellStyle name="Normal 84 2 2 4 2" xfId="11235" xr:uid="{00000000-0005-0000-0000-0000C52B0000}"/>
    <cellStyle name="Normal 84 2 2 5" xfId="11236" xr:uid="{00000000-0005-0000-0000-0000C62B0000}"/>
    <cellStyle name="Normal 84 2 2 5 2" xfId="11237" xr:uid="{00000000-0005-0000-0000-0000C72B0000}"/>
    <cellStyle name="Normal 84 2 2 6" xfId="11238" xr:uid="{00000000-0005-0000-0000-0000C82B0000}"/>
    <cellStyle name="Normal 84 2 3" xfId="11239" xr:uid="{00000000-0005-0000-0000-0000C92B0000}"/>
    <cellStyle name="Normal 84 2 3 2" xfId="11240" xr:uid="{00000000-0005-0000-0000-0000CA2B0000}"/>
    <cellStyle name="Normal 84 2 3 2 2" xfId="11241" xr:uid="{00000000-0005-0000-0000-0000CB2B0000}"/>
    <cellStyle name="Normal 84 2 3 3" xfId="11242" xr:uid="{00000000-0005-0000-0000-0000CC2B0000}"/>
    <cellStyle name="Normal 84 2 3 3 2" xfId="11243" xr:uid="{00000000-0005-0000-0000-0000CD2B0000}"/>
    <cellStyle name="Normal 84 2 3 4" xfId="11244" xr:uid="{00000000-0005-0000-0000-0000CE2B0000}"/>
    <cellStyle name="Normal 84 2 4" xfId="11245" xr:uid="{00000000-0005-0000-0000-0000CF2B0000}"/>
    <cellStyle name="Normal 84 2 4 2" xfId="11246" xr:uid="{00000000-0005-0000-0000-0000D02B0000}"/>
    <cellStyle name="Normal 84 2 4 2 2" xfId="11247" xr:uid="{00000000-0005-0000-0000-0000D12B0000}"/>
    <cellStyle name="Normal 84 2 4 3" xfId="11248" xr:uid="{00000000-0005-0000-0000-0000D22B0000}"/>
    <cellStyle name="Normal 84 2 5" xfId="11249" xr:uid="{00000000-0005-0000-0000-0000D32B0000}"/>
    <cellStyle name="Normal 84 2 5 2" xfId="11250" xr:uid="{00000000-0005-0000-0000-0000D42B0000}"/>
    <cellStyle name="Normal 84 2 6" xfId="11251" xr:uid="{00000000-0005-0000-0000-0000D52B0000}"/>
    <cellStyle name="Normal 84 2 6 2" xfId="11252" xr:uid="{00000000-0005-0000-0000-0000D62B0000}"/>
    <cellStyle name="Normal 84 2 7" xfId="11253" xr:uid="{00000000-0005-0000-0000-0000D72B0000}"/>
    <cellStyle name="Normal 84 3" xfId="11254" xr:uid="{00000000-0005-0000-0000-0000D82B0000}"/>
    <cellStyle name="Normal 84 3 2" xfId="11255" xr:uid="{00000000-0005-0000-0000-0000D92B0000}"/>
    <cellStyle name="Normal 84 3 2 2" xfId="11256" xr:uid="{00000000-0005-0000-0000-0000DA2B0000}"/>
    <cellStyle name="Normal 84 3 2 2 2" xfId="11257" xr:uid="{00000000-0005-0000-0000-0000DB2B0000}"/>
    <cellStyle name="Normal 84 3 2 3" xfId="11258" xr:uid="{00000000-0005-0000-0000-0000DC2B0000}"/>
    <cellStyle name="Normal 84 3 2 3 2" xfId="11259" xr:uid="{00000000-0005-0000-0000-0000DD2B0000}"/>
    <cellStyle name="Normal 84 3 2 4" xfId="11260" xr:uid="{00000000-0005-0000-0000-0000DE2B0000}"/>
    <cellStyle name="Normal 84 3 3" xfId="11261" xr:uid="{00000000-0005-0000-0000-0000DF2B0000}"/>
    <cellStyle name="Normal 84 3 3 2" xfId="11262" xr:uid="{00000000-0005-0000-0000-0000E02B0000}"/>
    <cellStyle name="Normal 84 3 3 2 2" xfId="11263" xr:uid="{00000000-0005-0000-0000-0000E12B0000}"/>
    <cellStyle name="Normal 84 3 3 3" xfId="11264" xr:uid="{00000000-0005-0000-0000-0000E22B0000}"/>
    <cellStyle name="Normal 84 3 4" xfId="11265" xr:uid="{00000000-0005-0000-0000-0000E32B0000}"/>
    <cellStyle name="Normal 84 3 4 2" xfId="11266" xr:uid="{00000000-0005-0000-0000-0000E42B0000}"/>
    <cellStyle name="Normal 84 3 5" xfId="11267" xr:uid="{00000000-0005-0000-0000-0000E52B0000}"/>
    <cellStyle name="Normal 84 3 5 2" xfId="11268" xr:uid="{00000000-0005-0000-0000-0000E62B0000}"/>
    <cellStyle name="Normal 84 3 6" xfId="11269" xr:uid="{00000000-0005-0000-0000-0000E72B0000}"/>
    <cellStyle name="Normal 84 4" xfId="11270" xr:uid="{00000000-0005-0000-0000-0000E82B0000}"/>
    <cellStyle name="Normal 84 4 2" xfId="11271" xr:uid="{00000000-0005-0000-0000-0000E92B0000}"/>
    <cellStyle name="Normal 84 4 2 2" xfId="11272" xr:uid="{00000000-0005-0000-0000-0000EA2B0000}"/>
    <cellStyle name="Normal 84 4 3" xfId="11273" xr:uid="{00000000-0005-0000-0000-0000EB2B0000}"/>
    <cellStyle name="Normal 84 4 3 2" xfId="11274" xr:uid="{00000000-0005-0000-0000-0000EC2B0000}"/>
    <cellStyle name="Normal 84 4 4" xfId="11275" xr:uid="{00000000-0005-0000-0000-0000ED2B0000}"/>
    <cellStyle name="Normal 84 5" xfId="11276" xr:uid="{00000000-0005-0000-0000-0000EE2B0000}"/>
    <cellStyle name="Normal 84 5 2" xfId="11277" xr:uid="{00000000-0005-0000-0000-0000EF2B0000}"/>
    <cellStyle name="Normal 84 5 2 2" xfId="11278" xr:uid="{00000000-0005-0000-0000-0000F02B0000}"/>
    <cellStyle name="Normal 84 5 3" xfId="11279" xr:uid="{00000000-0005-0000-0000-0000F12B0000}"/>
    <cellStyle name="Normal 84 6" xfId="11280" xr:uid="{00000000-0005-0000-0000-0000F22B0000}"/>
    <cellStyle name="Normal 84 6 2" xfId="11281" xr:uid="{00000000-0005-0000-0000-0000F32B0000}"/>
    <cellStyle name="Normal 84 7" xfId="11282" xr:uid="{00000000-0005-0000-0000-0000F42B0000}"/>
    <cellStyle name="Normal 84 7 2" xfId="11283" xr:uid="{00000000-0005-0000-0000-0000F52B0000}"/>
    <cellStyle name="Normal 84 8" xfId="11284" xr:uid="{00000000-0005-0000-0000-0000F62B0000}"/>
    <cellStyle name="Normal 85" xfId="11285" xr:uid="{00000000-0005-0000-0000-0000F72B0000}"/>
    <cellStyle name="Normal 85 2" xfId="11286" xr:uid="{00000000-0005-0000-0000-0000F82B0000}"/>
    <cellStyle name="Normal 85 2 2" xfId="11287" xr:uid="{00000000-0005-0000-0000-0000F92B0000}"/>
    <cellStyle name="Normal 85 2 2 2" xfId="11288" xr:uid="{00000000-0005-0000-0000-0000FA2B0000}"/>
    <cellStyle name="Normal 85 2 2 2 2" xfId="11289" xr:uid="{00000000-0005-0000-0000-0000FB2B0000}"/>
    <cellStyle name="Normal 85 2 2 2 2 2" xfId="11290" xr:uid="{00000000-0005-0000-0000-0000FC2B0000}"/>
    <cellStyle name="Normal 85 2 2 2 3" xfId="11291" xr:uid="{00000000-0005-0000-0000-0000FD2B0000}"/>
    <cellStyle name="Normal 85 2 2 2 3 2" xfId="11292" xr:uid="{00000000-0005-0000-0000-0000FE2B0000}"/>
    <cellStyle name="Normal 85 2 2 2 4" xfId="11293" xr:uid="{00000000-0005-0000-0000-0000FF2B0000}"/>
    <cellStyle name="Normal 85 2 2 3" xfId="11294" xr:uid="{00000000-0005-0000-0000-0000002C0000}"/>
    <cellStyle name="Normal 85 2 2 3 2" xfId="11295" xr:uid="{00000000-0005-0000-0000-0000012C0000}"/>
    <cellStyle name="Normal 85 2 2 3 2 2" xfId="11296" xr:uid="{00000000-0005-0000-0000-0000022C0000}"/>
    <cellStyle name="Normal 85 2 2 3 3" xfId="11297" xr:uid="{00000000-0005-0000-0000-0000032C0000}"/>
    <cellStyle name="Normal 85 2 2 4" xfId="11298" xr:uid="{00000000-0005-0000-0000-0000042C0000}"/>
    <cellStyle name="Normal 85 2 2 4 2" xfId="11299" xr:uid="{00000000-0005-0000-0000-0000052C0000}"/>
    <cellStyle name="Normal 85 2 2 5" xfId="11300" xr:uid="{00000000-0005-0000-0000-0000062C0000}"/>
    <cellStyle name="Normal 85 2 2 5 2" xfId="11301" xr:uid="{00000000-0005-0000-0000-0000072C0000}"/>
    <cellStyle name="Normal 85 2 2 6" xfId="11302" xr:uid="{00000000-0005-0000-0000-0000082C0000}"/>
    <cellStyle name="Normal 85 2 3" xfId="11303" xr:uid="{00000000-0005-0000-0000-0000092C0000}"/>
    <cellStyle name="Normal 85 2 3 2" xfId="11304" xr:uid="{00000000-0005-0000-0000-00000A2C0000}"/>
    <cellStyle name="Normal 85 2 3 2 2" xfId="11305" xr:uid="{00000000-0005-0000-0000-00000B2C0000}"/>
    <cellStyle name="Normal 85 2 3 3" xfId="11306" xr:uid="{00000000-0005-0000-0000-00000C2C0000}"/>
    <cellStyle name="Normal 85 2 3 3 2" xfId="11307" xr:uid="{00000000-0005-0000-0000-00000D2C0000}"/>
    <cellStyle name="Normal 85 2 3 4" xfId="11308" xr:uid="{00000000-0005-0000-0000-00000E2C0000}"/>
    <cellStyle name="Normal 85 2 4" xfId="11309" xr:uid="{00000000-0005-0000-0000-00000F2C0000}"/>
    <cellStyle name="Normal 85 2 4 2" xfId="11310" xr:uid="{00000000-0005-0000-0000-0000102C0000}"/>
    <cellStyle name="Normal 85 2 4 2 2" xfId="11311" xr:uid="{00000000-0005-0000-0000-0000112C0000}"/>
    <cellStyle name="Normal 85 2 4 3" xfId="11312" xr:uid="{00000000-0005-0000-0000-0000122C0000}"/>
    <cellStyle name="Normal 85 2 5" xfId="11313" xr:uid="{00000000-0005-0000-0000-0000132C0000}"/>
    <cellStyle name="Normal 85 2 5 2" xfId="11314" xr:uid="{00000000-0005-0000-0000-0000142C0000}"/>
    <cellStyle name="Normal 85 2 6" xfId="11315" xr:uid="{00000000-0005-0000-0000-0000152C0000}"/>
    <cellStyle name="Normal 85 2 6 2" xfId="11316" xr:uid="{00000000-0005-0000-0000-0000162C0000}"/>
    <cellStyle name="Normal 85 2 7" xfId="11317" xr:uid="{00000000-0005-0000-0000-0000172C0000}"/>
    <cellStyle name="Normal 85 3" xfId="11318" xr:uid="{00000000-0005-0000-0000-0000182C0000}"/>
    <cellStyle name="Normal 85 3 2" xfId="11319" xr:uid="{00000000-0005-0000-0000-0000192C0000}"/>
    <cellStyle name="Normal 85 3 2 2" xfId="11320" xr:uid="{00000000-0005-0000-0000-00001A2C0000}"/>
    <cellStyle name="Normal 85 3 2 2 2" xfId="11321" xr:uid="{00000000-0005-0000-0000-00001B2C0000}"/>
    <cellStyle name="Normal 85 3 2 3" xfId="11322" xr:uid="{00000000-0005-0000-0000-00001C2C0000}"/>
    <cellStyle name="Normal 85 3 2 3 2" xfId="11323" xr:uid="{00000000-0005-0000-0000-00001D2C0000}"/>
    <cellStyle name="Normal 85 3 2 4" xfId="11324" xr:uid="{00000000-0005-0000-0000-00001E2C0000}"/>
    <cellStyle name="Normal 85 3 3" xfId="11325" xr:uid="{00000000-0005-0000-0000-00001F2C0000}"/>
    <cellStyle name="Normal 85 3 3 2" xfId="11326" xr:uid="{00000000-0005-0000-0000-0000202C0000}"/>
    <cellStyle name="Normal 85 3 3 2 2" xfId="11327" xr:uid="{00000000-0005-0000-0000-0000212C0000}"/>
    <cellStyle name="Normal 85 3 3 3" xfId="11328" xr:uid="{00000000-0005-0000-0000-0000222C0000}"/>
    <cellStyle name="Normal 85 3 4" xfId="11329" xr:uid="{00000000-0005-0000-0000-0000232C0000}"/>
    <cellStyle name="Normal 85 3 4 2" xfId="11330" xr:uid="{00000000-0005-0000-0000-0000242C0000}"/>
    <cellStyle name="Normal 85 3 5" xfId="11331" xr:uid="{00000000-0005-0000-0000-0000252C0000}"/>
    <cellStyle name="Normal 85 3 5 2" xfId="11332" xr:uid="{00000000-0005-0000-0000-0000262C0000}"/>
    <cellStyle name="Normal 85 3 6" xfId="11333" xr:uid="{00000000-0005-0000-0000-0000272C0000}"/>
    <cellStyle name="Normal 85 4" xfId="11334" xr:uid="{00000000-0005-0000-0000-0000282C0000}"/>
    <cellStyle name="Normal 85 4 2" xfId="11335" xr:uid="{00000000-0005-0000-0000-0000292C0000}"/>
    <cellStyle name="Normal 85 4 2 2" xfId="11336" xr:uid="{00000000-0005-0000-0000-00002A2C0000}"/>
    <cellStyle name="Normal 85 4 3" xfId="11337" xr:uid="{00000000-0005-0000-0000-00002B2C0000}"/>
    <cellStyle name="Normal 85 4 3 2" xfId="11338" xr:uid="{00000000-0005-0000-0000-00002C2C0000}"/>
    <cellStyle name="Normal 85 4 4" xfId="11339" xr:uid="{00000000-0005-0000-0000-00002D2C0000}"/>
    <cellStyle name="Normal 85 5" xfId="11340" xr:uid="{00000000-0005-0000-0000-00002E2C0000}"/>
    <cellStyle name="Normal 85 5 2" xfId="11341" xr:uid="{00000000-0005-0000-0000-00002F2C0000}"/>
    <cellStyle name="Normal 85 5 2 2" xfId="11342" xr:uid="{00000000-0005-0000-0000-0000302C0000}"/>
    <cellStyle name="Normal 85 5 3" xfId="11343" xr:uid="{00000000-0005-0000-0000-0000312C0000}"/>
    <cellStyle name="Normal 85 6" xfId="11344" xr:uid="{00000000-0005-0000-0000-0000322C0000}"/>
    <cellStyle name="Normal 85 6 2" xfId="11345" xr:uid="{00000000-0005-0000-0000-0000332C0000}"/>
    <cellStyle name="Normal 85 7" xfId="11346" xr:uid="{00000000-0005-0000-0000-0000342C0000}"/>
    <cellStyle name="Normal 85 7 2" xfId="11347" xr:uid="{00000000-0005-0000-0000-0000352C0000}"/>
    <cellStyle name="Normal 85 8" xfId="11348" xr:uid="{00000000-0005-0000-0000-0000362C0000}"/>
    <cellStyle name="Normal 86" xfId="11349" xr:uid="{00000000-0005-0000-0000-0000372C0000}"/>
    <cellStyle name="Normal 86 2" xfId="11350" xr:uid="{00000000-0005-0000-0000-0000382C0000}"/>
    <cellStyle name="Normal 86 2 2" xfId="11351" xr:uid="{00000000-0005-0000-0000-0000392C0000}"/>
    <cellStyle name="Normal 86 2 2 2" xfId="11352" xr:uid="{00000000-0005-0000-0000-00003A2C0000}"/>
    <cellStyle name="Normal 86 2 2 2 2" xfId="11353" xr:uid="{00000000-0005-0000-0000-00003B2C0000}"/>
    <cellStyle name="Normal 86 2 2 2 2 2" xfId="11354" xr:uid="{00000000-0005-0000-0000-00003C2C0000}"/>
    <cellStyle name="Normal 86 2 2 2 3" xfId="11355" xr:uid="{00000000-0005-0000-0000-00003D2C0000}"/>
    <cellStyle name="Normal 86 2 2 2 3 2" xfId="11356" xr:uid="{00000000-0005-0000-0000-00003E2C0000}"/>
    <cellStyle name="Normal 86 2 2 2 4" xfId="11357" xr:uid="{00000000-0005-0000-0000-00003F2C0000}"/>
    <cellStyle name="Normal 86 2 2 3" xfId="11358" xr:uid="{00000000-0005-0000-0000-0000402C0000}"/>
    <cellStyle name="Normal 86 2 2 3 2" xfId="11359" xr:uid="{00000000-0005-0000-0000-0000412C0000}"/>
    <cellStyle name="Normal 86 2 2 3 2 2" xfId="11360" xr:uid="{00000000-0005-0000-0000-0000422C0000}"/>
    <cellStyle name="Normal 86 2 2 3 3" xfId="11361" xr:uid="{00000000-0005-0000-0000-0000432C0000}"/>
    <cellStyle name="Normal 86 2 2 4" xfId="11362" xr:uid="{00000000-0005-0000-0000-0000442C0000}"/>
    <cellStyle name="Normal 86 2 2 4 2" xfId="11363" xr:uid="{00000000-0005-0000-0000-0000452C0000}"/>
    <cellStyle name="Normal 86 2 2 5" xfId="11364" xr:uid="{00000000-0005-0000-0000-0000462C0000}"/>
    <cellStyle name="Normal 86 2 2 5 2" xfId="11365" xr:uid="{00000000-0005-0000-0000-0000472C0000}"/>
    <cellStyle name="Normal 86 2 2 6" xfId="11366" xr:uid="{00000000-0005-0000-0000-0000482C0000}"/>
    <cellStyle name="Normal 86 2 3" xfId="11367" xr:uid="{00000000-0005-0000-0000-0000492C0000}"/>
    <cellStyle name="Normal 86 2 3 2" xfId="11368" xr:uid="{00000000-0005-0000-0000-00004A2C0000}"/>
    <cellStyle name="Normal 86 2 3 2 2" xfId="11369" xr:uid="{00000000-0005-0000-0000-00004B2C0000}"/>
    <cellStyle name="Normal 86 2 3 3" xfId="11370" xr:uid="{00000000-0005-0000-0000-00004C2C0000}"/>
    <cellStyle name="Normal 86 2 3 3 2" xfId="11371" xr:uid="{00000000-0005-0000-0000-00004D2C0000}"/>
    <cellStyle name="Normal 86 2 3 4" xfId="11372" xr:uid="{00000000-0005-0000-0000-00004E2C0000}"/>
    <cellStyle name="Normal 86 2 4" xfId="11373" xr:uid="{00000000-0005-0000-0000-00004F2C0000}"/>
    <cellStyle name="Normal 86 2 4 2" xfId="11374" xr:uid="{00000000-0005-0000-0000-0000502C0000}"/>
    <cellStyle name="Normal 86 2 4 2 2" xfId="11375" xr:uid="{00000000-0005-0000-0000-0000512C0000}"/>
    <cellStyle name="Normal 86 2 4 3" xfId="11376" xr:uid="{00000000-0005-0000-0000-0000522C0000}"/>
    <cellStyle name="Normal 86 2 5" xfId="11377" xr:uid="{00000000-0005-0000-0000-0000532C0000}"/>
    <cellStyle name="Normal 86 2 5 2" xfId="11378" xr:uid="{00000000-0005-0000-0000-0000542C0000}"/>
    <cellStyle name="Normal 86 2 6" xfId="11379" xr:uid="{00000000-0005-0000-0000-0000552C0000}"/>
    <cellStyle name="Normal 86 2 6 2" xfId="11380" xr:uid="{00000000-0005-0000-0000-0000562C0000}"/>
    <cellStyle name="Normal 86 2 7" xfId="11381" xr:uid="{00000000-0005-0000-0000-0000572C0000}"/>
    <cellStyle name="Normal 86 3" xfId="11382" xr:uid="{00000000-0005-0000-0000-0000582C0000}"/>
    <cellStyle name="Normal 86 3 2" xfId="11383" xr:uid="{00000000-0005-0000-0000-0000592C0000}"/>
    <cellStyle name="Normal 86 3 2 2" xfId="11384" xr:uid="{00000000-0005-0000-0000-00005A2C0000}"/>
    <cellStyle name="Normal 86 3 2 2 2" xfId="11385" xr:uid="{00000000-0005-0000-0000-00005B2C0000}"/>
    <cellStyle name="Normal 86 3 2 3" xfId="11386" xr:uid="{00000000-0005-0000-0000-00005C2C0000}"/>
    <cellStyle name="Normal 86 3 2 3 2" xfId="11387" xr:uid="{00000000-0005-0000-0000-00005D2C0000}"/>
    <cellStyle name="Normal 86 3 2 4" xfId="11388" xr:uid="{00000000-0005-0000-0000-00005E2C0000}"/>
    <cellStyle name="Normal 86 3 3" xfId="11389" xr:uid="{00000000-0005-0000-0000-00005F2C0000}"/>
    <cellStyle name="Normal 86 3 3 2" xfId="11390" xr:uid="{00000000-0005-0000-0000-0000602C0000}"/>
    <cellStyle name="Normal 86 3 3 2 2" xfId="11391" xr:uid="{00000000-0005-0000-0000-0000612C0000}"/>
    <cellStyle name="Normal 86 3 3 3" xfId="11392" xr:uid="{00000000-0005-0000-0000-0000622C0000}"/>
    <cellStyle name="Normal 86 3 4" xfId="11393" xr:uid="{00000000-0005-0000-0000-0000632C0000}"/>
    <cellStyle name="Normal 86 3 4 2" xfId="11394" xr:uid="{00000000-0005-0000-0000-0000642C0000}"/>
    <cellStyle name="Normal 86 3 5" xfId="11395" xr:uid="{00000000-0005-0000-0000-0000652C0000}"/>
    <cellStyle name="Normal 86 3 5 2" xfId="11396" xr:uid="{00000000-0005-0000-0000-0000662C0000}"/>
    <cellStyle name="Normal 86 3 6" xfId="11397" xr:uid="{00000000-0005-0000-0000-0000672C0000}"/>
    <cellStyle name="Normal 86 4" xfId="11398" xr:uid="{00000000-0005-0000-0000-0000682C0000}"/>
    <cellStyle name="Normal 86 4 2" xfId="11399" xr:uid="{00000000-0005-0000-0000-0000692C0000}"/>
    <cellStyle name="Normal 86 4 2 2" xfId="11400" xr:uid="{00000000-0005-0000-0000-00006A2C0000}"/>
    <cellStyle name="Normal 86 4 3" xfId="11401" xr:uid="{00000000-0005-0000-0000-00006B2C0000}"/>
    <cellStyle name="Normal 86 4 3 2" xfId="11402" xr:uid="{00000000-0005-0000-0000-00006C2C0000}"/>
    <cellStyle name="Normal 86 4 4" xfId="11403" xr:uid="{00000000-0005-0000-0000-00006D2C0000}"/>
    <cellStyle name="Normal 86 5" xfId="11404" xr:uid="{00000000-0005-0000-0000-00006E2C0000}"/>
    <cellStyle name="Normal 86 5 2" xfId="11405" xr:uid="{00000000-0005-0000-0000-00006F2C0000}"/>
    <cellStyle name="Normal 86 5 2 2" xfId="11406" xr:uid="{00000000-0005-0000-0000-0000702C0000}"/>
    <cellStyle name="Normal 86 5 3" xfId="11407" xr:uid="{00000000-0005-0000-0000-0000712C0000}"/>
    <cellStyle name="Normal 86 6" xfId="11408" xr:uid="{00000000-0005-0000-0000-0000722C0000}"/>
    <cellStyle name="Normal 86 6 2" xfId="11409" xr:uid="{00000000-0005-0000-0000-0000732C0000}"/>
    <cellStyle name="Normal 86 7" xfId="11410" xr:uid="{00000000-0005-0000-0000-0000742C0000}"/>
    <cellStyle name="Normal 86 7 2" xfId="11411" xr:uid="{00000000-0005-0000-0000-0000752C0000}"/>
    <cellStyle name="Normal 86 8" xfId="11412" xr:uid="{00000000-0005-0000-0000-0000762C0000}"/>
    <cellStyle name="Normal 87" xfId="11413" xr:uid="{00000000-0005-0000-0000-0000772C0000}"/>
    <cellStyle name="Normal 87 2" xfId="11414" xr:uid="{00000000-0005-0000-0000-0000782C0000}"/>
    <cellStyle name="Normal 87 2 2" xfId="11415" xr:uid="{00000000-0005-0000-0000-0000792C0000}"/>
    <cellStyle name="Normal 87 2 2 2" xfId="11416" xr:uid="{00000000-0005-0000-0000-00007A2C0000}"/>
    <cellStyle name="Normal 87 2 2 2 2" xfId="11417" xr:uid="{00000000-0005-0000-0000-00007B2C0000}"/>
    <cellStyle name="Normal 87 2 2 2 2 2" xfId="11418" xr:uid="{00000000-0005-0000-0000-00007C2C0000}"/>
    <cellStyle name="Normal 87 2 2 2 3" xfId="11419" xr:uid="{00000000-0005-0000-0000-00007D2C0000}"/>
    <cellStyle name="Normal 87 2 2 2 3 2" xfId="11420" xr:uid="{00000000-0005-0000-0000-00007E2C0000}"/>
    <cellStyle name="Normal 87 2 2 2 4" xfId="11421" xr:uid="{00000000-0005-0000-0000-00007F2C0000}"/>
    <cellStyle name="Normal 87 2 2 3" xfId="11422" xr:uid="{00000000-0005-0000-0000-0000802C0000}"/>
    <cellStyle name="Normal 87 2 2 3 2" xfId="11423" xr:uid="{00000000-0005-0000-0000-0000812C0000}"/>
    <cellStyle name="Normal 87 2 2 3 2 2" xfId="11424" xr:uid="{00000000-0005-0000-0000-0000822C0000}"/>
    <cellStyle name="Normal 87 2 2 3 3" xfId="11425" xr:uid="{00000000-0005-0000-0000-0000832C0000}"/>
    <cellStyle name="Normal 87 2 2 4" xfId="11426" xr:uid="{00000000-0005-0000-0000-0000842C0000}"/>
    <cellStyle name="Normal 87 2 2 4 2" xfId="11427" xr:uid="{00000000-0005-0000-0000-0000852C0000}"/>
    <cellStyle name="Normal 87 2 2 5" xfId="11428" xr:uid="{00000000-0005-0000-0000-0000862C0000}"/>
    <cellStyle name="Normal 87 2 2 5 2" xfId="11429" xr:uid="{00000000-0005-0000-0000-0000872C0000}"/>
    <cellStyle name="Normal 87 2 2 6" xfId="11430" xr:uid="{00000000-0005-0000-0000-0000882C0000}"/>
    <cellStyle name="Normal 87 2 3" xfId="11431" xr:uid="{00000000-0005-0000-0000-0000892C0000}"/>
    <cellStyle name="Normal 87 2 3 2" xfId="11432" xr:uid="{00000000-0005-0000-0000-00008A2C0000}"/>
    <cellStyle name="Normal 87 2 3 2 2" xfId="11433" xr:uid="{00000000-0005-0000-0000-00008B2C0000}"/>
    <cellStyle name="Normal 87 2 3 3" xfId="11434" xr:uid="{00000000-0005-0000-0000-00008C2C0000}"/>
    <cellStyle name="Normal 87 2 3 3 2" xfId="11435" xr:uid="{00000000-0005-0000-0000-00008D2C0000}"/>
    <cellStyle name="Normal 87 2 3 4" xfId="11436" xr:uid="{00000000-0005-0000-0000-00008E2C0000}"/>
    <cellStyle name="Normal 87 2 4" xfId="11437" xr:uid="{00000000-0005-0000-0000-00008F2C0000}"/>
    <cellStyle name="Normal 87 2 4 2" xfId="11438" xr:uid="{00000000-0005-0000-0000-0000902C0000}"/>
    <cellStyle name="Normal 87 2 4 2 2" xfId="11439" xr:uid="{00000000-0005-0000-0000-0000912C0000}"/>
    <cellStyle name="Normal 87 2 4 3" xfId="11440" xr:uid="{00000000-0005-0000-0000-0000922C0000}"/>
    <cellStyle name="Normal 87 2 5" xfId="11441" xr:uid="{00000000-0005-0000-0000-0000932C0000}"/>
    <cellStyle name="Normal 87 2 5 2" xfId="11442" xr:uid="{00000000-0005-0000-0000-0000942C0000}"/>
    <cellStyle name="Normal 87 2 6" xfId="11443" xr:uid="{00000000-0005-0000-0000-0000952C0000}"/>
    <cellStyle name="Normal 87 2 6 2" xfId="11444" xr:uid="{00000000-0005-0000-0000-0000962C0000}"/>
    <cellStyle name="Normal 87 2 7" xfId="11445" xr:uid="{00000000-0005-0000-0000-0000972C0000}"/>
    <cellStyle name="Normal 87 3" xfId="11446" xr:uid="{00000000-0005-0000-0000-0000982C0000}"/>
    <cellStyle name="Normal 87 3 2" xfId="11447" xr:uid="{00000000-0005-0000-0000-0000992C0000}"/>
    <cellStyle name="Normal 87 3 2 2" xfId="11448" xr:uid="{00000000-0005-0000-0000-00009A2C0000}"/>
    <cellStyle name="Normal 87 3 2 2 2" xfId="11449" xr:uid="{00000000-0005-0000-0000-00009B2C0000}"/>
    <cellStyle name="Normal 87 3 2 3" xfId="11450" xr:uid="{00000000-0005-0000-0000-00009C2C0000}"/>
    <cellStyle name="Normal 87 3 2 3 2" xfId="11451" xr:uid="{00000000-0005-0000-0000-00009D2C0000}"/>
    <cellStyle name="Normal 87 3 2 4" xfId="11452" xr:uid="{00000000-0005-0000-0000-00009E2C0000}"/>
    <cellStyle name="Normal 87 3 3" xfId="11453" xr:uid="{00000000-0005-0000-0000-00009F2C0000}"/>
    <cellStyle name="Normal 87 3 3 2" xfId="11454" xr:uid="{00000000-0005-0000-0000-0000A02C0000}"/>
    <cellStyle name="Normal 87 3 3 2 2" xfId="11455" xr:uid="{00000000-0005-0000-0000-0000A12C0000}"/>
    <cellStyle name="Normal 87 3 3 3" xfId="11456" xr:uid="{00000000-0005-0000-0000-0000A22C0000}"/>
    <cellStyle name="Normal 87 3 4" xfId="11457" xr:uid="{00000000-0005-0000-0000-0000A32C0000}"/>
    <cellStyle name="Normal 87 3 4 2" xfId="11458" xr:uid="{00000000-0005-0000-0000-0000A42C0000}"/>
    <cellStyle name="Normal 87 3 5" xfId="11459" xr:uid="{00000000-0005-0000-0000-0000A52C0000}"/>
    <cellStyle name="Normal 87 3 5 2" xfId="11460" xr:uid="{00000000-0005-0000-0000-0000A62C0000}"/>
    <cellStyle name="Normal 87 3 6" xfId="11461" xr:uid="{00000000-0005-0000-0000-0000A72C0000}"/>
    <cellStyle name="Normal 87 4" xfId="11462" xr:uid="{00000000-0005-0000-0000-0000A82C0000}"/>
    <cellStyle name="Normal 87 4 2" xfId="11463" xr:uid="{00000000-0005-0000-0000-0000A92C0000}"/>
    <cellStyle name="Normal 87 4 2 2" xfId="11464" xr:uid="{00000000-0005-0000-0000-0000AA2C0000}"/>
    <cellStyle name="Normal 87 4 3" xfId="11465" xr:uid="{00000000-0005-0000-0000-0000AB2C0000}"/>
    <cellStyle name="Normal 87 4 3 2" xfId="11466" xr:uid="{00000000-0005-0000-0000-0000AC2C0000}"/>
    <cellStyle name="Normal 87 4 4" xfId="11467" xr:uid="{00000000-0005-0000-0000-0000AD2C0000}"/>
    <cellStyle name="Normal 87 5" xfId="11468" xr:uid="{00000000-0005-0000-0000-0000AE2C0000}"/>
    <cellStyle name="Normal 87 5 2" xfId="11469" xr:uid="{00000000-0005-0000-0000-0000AF2C0000}"/>
    <cellStyle name="Normal 87 5 2 2" xfId="11470" xr:uid="{00000000-0005-0000-0000-0000B02C0000}"/>
    <cellStyle name="Normal 87 5 3" xfId="11471" xr:uid="{00000000-0005-0000-0000-0000B12C0000}"/>
    <cellStyle name="Normal 87 6" xfId="11472" xr:uid="{00000000-0005-0000-0000-0000B22C0000}"/>
    <cellStyle name="Normal 87 6 2" xfId="11473" xr:uid="{00000000-0005-0000-0000-0000B32C0000}"/>
    <cellStyle name="Normal 87 7" xfId="11474" xr:uid="{00000000-0005-0000-0000-0000B42C0000}"/>
    <cellStyle name="Normal 87 7 2" xfId="11475" xr:uid="{00000000-0005-0000-0000-0000B52C0000}"/>
    <cellStyle name="Normal 87 8" xfId="11476" xr:uid="{00000000-0005-0000-0000-0000B62C0000}"/>
    <cellStyle name="Normal 88" xfId="11477" xr:uid="{00000000-0005-0000-0000-0000B72C0000}"/>
    <cellStyle name="Normal 88 2" xfId="11478" xr:uid="{00000000-0005-0000-0000-0000B82C0000}"/>
    <cellStyle name="Normal 88 2 2" xfId="11479" xr:uid="{00000000-0005-0000-0000-0000B92C0000}"/>
    <cellStyle name="Normal 88 2 2 2" xfId="11480" xr:uid="{00000000-0005-0000-0000-0000BA2C0000}"/>
    <cellStyle name="Normal 88 2 2 2 2" xfId="11481" xr:uid="{00000000-0005-0000-0000-0000BB2C0000}"/>
    <cellStyle name="Normal 88 2 2 2 2 2" xfId="11482" xr:uid="{00000000-0005-0000-0000-0000BC2C0000}"/>
    <cellStyle name="Normal 88 2 2 2 3" xfId="11483" xr:uid="{00000000-0005-0000-0000-0000BD2C0000}"/>
    <cellStyle name="Normal 88 2 2 2 3 2" xfId="11484" xr:uid="{00000000-0005-0000-0000-0000BE2C0000}"/>
    <cellStyle name="Normal 88 2 2 2 4" xfId="11485" xr:uid="{00000000-0005-0000-0000-0000BF2C0000}"/>
    <cellStyle name="Normal 88 2 2 3" xfId="11486" xr:uid="{00000000-0005-0000-0000-0000C02C0000}"/>
    <cellStyle name="Normal 88 2 2 3 2" xfId="11487" xr:uid="{00000000-0005-0000-0000-0000C12C0000}"/>
    <cellStyle name="Normal 88 2 2 3 2 2" xfId="11488" xr:uid="{00000000-0005-0000-0000-0000C22C0000}"/>
    <cellStyle name="Normal 88 2 2 3 3" xfId="11489" xr:uid="{00000000-0005-0000-0000-0000C32C0000}"/>
    <cellStyle name="Normal 88 2 2 4" xfId="11490" xr:uid="{00000000-0005-0000-0000-0000C42C0000}"/>
    <cellStyle name="Normal 88 2 2 4 2" xfId="11491" xr:uid="{00000000-0005-0000-0000-0000C52C0000}"/>
    <cellStyle name="Normal 88 2 2 5" xfId="11492" xr:uid="{00000000-0005-0000-0000-0000C62C0000}"/>
    <cellStyle name="Normal 88 2 2 5 2" xfId="11493" xr:uid="{00000000-0005-0000-0000-0000C72C0000}"/>
    <cellStyle name="Normal 88 2 2 6" xfId="11494" xr:uid="{00000000-0005-0000-0000-0000C82C0000}"/>
    <cellStyle name="Normal 88 2 3" xfId="11495" xr:uid="{00000000-0005-0000-0000-0000C92C0000}"/>
    <cellStyle name="Normal 88 2 3 2" xfId="11496" xr:uid="{00000000-0005-0000-0000-0000CA2C0000}"/>
    <cellStyle name="Normal 88 2 3 2 2" xfId="11497" xr:uid="{00000000-0005-0000-0000-0000CB2C0000}"/>
    <cellStyle name="Normal 88 2 3 3" xfId="11498" xr:uid="{00000000-0005-0000-0000-0000CC2C0000}"/>
    <cellStyle name="Normal 88 2 3 3 2" xfId="11499" xr:uid="{00000000-0005-0000-0000-0000CD2C0000}"/>
    <cellStyle name="Normal 88 2 3 4" xfId="11500" xr:uid="{00000000-0005-0000-0000-0000CE2C0000}"/>
    <cellStyle name="Normal 88 2 4" xfId="11501" xr:uid="{00000000-0005-0000-0000-0000CF2C0000}"/>
    <cellStyle name="Normal 88 2 4 2" xfId="11502" xr:uid="{00000000-0005-0000-0000-0000D02C0000}"/>
    <cellStyle name="Normal 88 2 4 2 2" xfId="11503" xr:uid="{00000000-0005-0000-0000-0000D12C0000}"/>
    <cellStyle name="Normal 88 2 4 3" xfId="11504" xr:uid="{00000000-0005-0000-0000-0000D22C0000}"/>
    <cellStyle name="Normal 88 2 5" xfId="11505" xr:uid="{00000000-0005-0000-0000-0000D32C0000}"/>
    <cellStyle name="Normal 88 2 5 2" xfId="11506" xr:uid="{00000000-0005-0000-0000-0000D42C0000}"/>
    <cellStyle name="Normal 88 2 6" xfId="11507" xr:uid="{00000000-0005-0000-0000-0000D52C0000}"/>
    <cellStyle name="Normal 88 2 6 2" xfId="11508" xr:uid="{00000000-0005-0000-0000-0000D62C0000}"/>
    <cellStyle name="Normal 88 2 7" xfId="11509" xr:uid="{00000000-0005-0000-0000-0000D72C0000}"/>
    <cellStyle name="Normal 88 3" xfId="11510" xr:uid="{00000000-0005-0000-0000-0000D82C0000}"/>
    <cellStyle name="Normal 88 3 2" xfId="11511" xr:uid="{00000000-0005-0000-0000-0000D92C0000}"/>
    <cellStyle name="Normal 88 3 2 2" xfId="11512" xr:uid="{00000000-0005-0000-0000-0000DA2C0000}"/>
    <cellStyle name="Normal 88 3 2 2 2" xfId="11513" xr:uid="{00000000-0005-0000-0000-0000DB2C0000}"/>
    <cellStyle name="Normal 88 3 2 3" xfId="11514" xr:uid="{00000000-0005-0000-0000-0000DC2C0000}"/>
    <cellStyle name="Normal 88 3 2 3 2" xfId="11515" xr:uid="{00000000-0005-0000-0000-0000DD2C0000}"/>
    <cellStyle name="Normal 88 3 2 4" xfId="11516" xr:uid="{00000000-0005-0000-0000-0000DE2C0000}"/>
    <cellStyle name="Normal 88 3 3" xfId="11517" xr:uid="{00000000-0005-0000-0000-0000DF2C0000}"/>
    <cellStyle name="Normal 88 3 3 2" xfId="11518" xr:uid="{00000000-0005-0000-0000-0000E02C0000}"/>
    <cellStyle name="Normal 88 3 3 2 2" xfId="11519" xr:uid="{00000000-0005-0000-0000-0000E12C0000}"/>
    <cellStyle name="Normal 88 3 3 3" xfId="11520" xr:uid="{00000000-0005-0000-0000-0000E22C0000}"/>
    <cellStyle name="Normal 88 3 4" xfId="11521" xr:uid="{00000000-0005-0000-0000-0000E32C0000}"/>
    <cellStyle name="Normal 88 3 4 2" xfId="11522" xr:uid="{00000000-0005-0000-0000-0000E42C0000}"/>
    <cellStyle name="Normal 88 3 5" xfId="11523" xr:uid="{00000000-0005-0000-0000-0000E52C0000}"/>
    <cellStyle name="Normal 88 3 5 2" xfId="11524" xr:uid="{00000000-0005-0000-0000-0000E62C0000}"/>
    <cellStyle name="Normal 88 3 6" xfId="11525" xr:uid="{00000000-0005-0000-0000-0000E72C0000}"/>
    <cellStyle name="Normal 88 4" xfId="11526" xr:uid="{00000000-0005-0000-0000-0000E82C0000}"/>
    <cellStyle name="Normal 88 4 2" xfId="11527" xr:uid="{00000000-0005-0000-0000-0000E92C0000}"/>
    <cellStyle name="Normal 88 4 2 2" xfId="11528" xr:uid="{00000000-0005-0000-0000-0000EA2C0000}"/>
    <cellStyle name="Normal 88 4 3" xfId="11529" xr:uid="{00000000-0005-0000-0000-0000EB2C0000}"/>
    <cellStyle name="Normal 88 4 3 2" xfId="11530" xr:uid="{00000000-0005-0000-0000-0000EC2C0000}"/>
    <cellStyle name="Normal 88 4 4" xfId="11531" xr:uid="{00000000-0005-0000-0000-0000ED2C0000}"/>
    <cellStyle name="Normal 88 5" xfId="11532" xr:uid="{00000000-0005-0000-0000-0000EE2C0000}"/>
    <cellStyle name="Normal 88 5 2" xfId="11533" xr:uid="{00000000-0005-0000-0000-0000EF2C0000}"/>
    <cellStyle name="Normal 88 5 2 2" xfId="11534" xr:uid="{00000000-0005-0000-0000-0000F02C0000}"/>
    <cellStyle name="Normal 88 5 3" xfId="11535" xr:uid="{00000000-0005-0000-0000-0000F12C0000}"/>
    <cellStyle name="Normal 88 6" xfId="11536" xr:uid="{00000000-0005-0000-0000-0000F22C0000}"/>
    <cellStyle name="Normal 88 6 2" xfId="11537" xr:uid="{00000000-0005-0000-0000-0000F32C0000}"/>
    <cellStyle name="Normal 88 7" xfId="11538" xr:uid="{00000000-0005-0000-0000-0000F42C0000}"/>
    <cellStyle name="Normal 88 7 2" xfId="11539" xr:uid="{00000000-0005-0000-0000-0000F52C0000}"/>
    <cellStyle name="Normal 88 8" xfId="11540" xr:uid="{00000000-0005-0000-0000-0000F62C0000}"/>
    <cellStyle name="Normal 89" xfId="11541" xr:uid="{00000000-0005-0000-0000-0000F72C0000}"/>
    <cellStyle name="Normal 89 2" xfId="11542" xr:uid="{00000000-0005-0000-0000-0000F82C0000}"/>
    <cellStyle name="Normal 89 2 2" xfId="11543" xr:uid="{00000000-0005-0000-0000-0000F92C0000}"/>
    <cellStyle name="Normal 89 2 2 2" xfId="11544" xr:uid="{00000000-0005-0000-0000-0000FA2C0000}"/>
    <cellStyle name="Normal 89 2 2 2 2" xfId="11545" xr:uid="{00000000-0005-0000-0000-0000FB2C0000}"/>
    <cellStyle name="Normal 89 2 2 2 2 2" xfId="11546" xr:uid="{00000000-0005-0000-0000-0000FC2C0000}"/>
    <cellStyle name="Normal 89 2 2 2 3" xfId="11547" xr:uid="{00000000-0005-0000-0000-0000FD2C0000}"/>
    <cellStyle name="Normal 89 2 2 2 3 2" xfId="11548" xr:uid="{00000000-0005-0000-0000-0000FE2C0000}"/>
    <cellStyle name="Normal 89 2 2 2 4" xfId="11549" xr:uid="{00000000-0005-0000-0000-0000FF2C0000}"/>
    <cellStyle name="Normal 89 2 2 3" xfId="11550" xr:uid="{00000000-0005-0000-0000-0000002D0000}"/>
    <cellStyle name="Normal 89 2 2 3 2" xfId="11551" xr:uid="{00000000-0005-0000-0000-0000012D0000}"/>
    <cellStyle name="Normal 89 2 2 3 2 2" xfId="11552" xr:uid="{00000000-0005-0000-0000-0000022D0000}"/>
    <cellStyle name="Normal 89 2 2 3 3" xfId="11553" xr:uid="{00000000-0005-0000-0000-0000032D0000}"/>
    <cellStyle name="Normal 89 2 2 4" xfId="11554" xr:uid="{00000000-0005-0000-0000-0000042D0000}"/>
    <cellStyle name="Normal 89 2 2 4 2" xfId="11555" xr:uid="{00000000-0005-0000-0000-0000052D0000}"/>
    <cellStyle name="Normal 89 2 2 5" xfId="11556" xr:uid="{00000000-0005-0000-0000-0000062D0000}"/>
    <cellStyle name="Normal 89 2 2 5 2" xfId="11557" xr:uid="{00000000-0005-0000-0000-0000072D0000}"/>
    <cellStyle name="Normal 89 2 2 6" xfId="11558" xr:uid="{00000000-0005-0000-0000-0000082D0000}"/>
    <cellStyle name="Normal 89 2 3" xfId="11559" xr:uid="{00000000-0005-0000-0000-0000092D0000}"/>
    <cellStyle name="Normal 89 2 3 2" xfId="11560" xr:uid="{00000000-0005-0000-0000-00000A2D0000}"/>
    <cellStyle name="Normal 89 2 3 2 2" xfId="11561" xr:uid="{00000000-0005-0000-0000-00000B2D0000}"/>
    <cellStyle name="Normal 89 2 3 3" xfId="11562" xr:uid="{00000000-0005-0000-0000-00000C2D0000}"/>
    <cellStyle name="Normal 89 2 3 3 2" xfId="11563" xr:uid="{00000000-0005-0000-0000-00000D2D0000}"/>
    <cellStyle name="Normal 89 2 3 4" xfId="11564" xr:uid="{00000000-0005-0000-0000-00000E2D0000}"/>
    <cellStyle name="Normal 89 2 4" xfId="11565" xr:uid="{00000000-0005-0000-0000-00000F2D0000}"/>
    <cellStyle name="Normal 89 2 4 2" xfId="11566" xr:uid="{00000000-0005-0000-0000-0000102D0000}"/>
    <cellStyle name="Normal 89 2 4 2 2" xfId="11567" xr:uid="{00000000-0005-0000-0000-0000112D0000}"/>
    <cellStyle name="Normal 89 2 4 3" xfId="11568" xr:uid="{00000000-0005-0000-0000-0000122D0000}"/>
    <cellStyle name="Normal 89 2 5" xfId="11569" xr:uid="{00000000-0005-0000-0000-0000132D0000}"/>
    <cellStyle name="Normal 89 2 5 2" xfId="11570" xr:uid="{00000000-0005-0000-0000-0000142D0000}"/>
    <cellStyle name="Normal 89 2 6" xfId="11571" xr:uid="{00000000-0005-0000-0000-0000152D0000}"/>
    <cellStyle name="Normal 89 2 6 2" xfId="11572" xr:uid="{00000000-0005-0000-0000-0000162D0000}"/>
    <cellStyle name="Normal 89 2 7" xfId="11573" xr:uid="{00000000-0005-0000-0000-0000172D0000}"/>
    <cellStyle name="Normal 89 3" xfId="11574" xr:uid="{00000000-0005-0000-0000-0000182D0000}"/>
    <cellStyle name="Normal 89 3 2" xfId="11575" xr:uid="{00000000-0005-0000-0000-0000192D0000}"/>
    <cellStyle name="Normal 89 3 2 2" xfId="11576" xr:uid="{00000000-0005-0000-0000-00001A2D0000}"/>
    <cellStyle name="Normal 89 3 2 2 2" xfId="11577" xr:uid="{00000000-0005-0000-0000-00001B2D0000}"/>
    <cellStyle name="Normal 89 3 2 3" xfId="11578" xr:uid="{00000000-0005-0000-0000-00001C2D0000}"/>
    <cellStyle name="Normal 89 3 2 3 2" xfId="11579" xr:uid="{00000000-0005-0000-0000-00001D2D0000}"/>
    <cellStyle name="Normal 89 3 2 4" xfId="11580" xr:uid="{00000000-0005-0000-0000-00001E2D0000}"/>
    <cellStyle name="Normal 89 3 3" xfId="11581" xr:uid="{00000000-0005-0000-0000-00001F2D0000}"/>
    <cellStyle name="Normal 89 3 3 2" xfId="11582" xr:uid="{00000000-0005-0000-0000-0000202D0000}"/>
    <cellStyle name="Normal 89 3 3 2 2" xfId="11583" xr:uid="{00000000-0005-0000-0000-0000212D0000}"/>
    <cellStyle name="Normal 89 3 3 3" xfId="11584" xr:uid="{00000000-0005-0000-0000-0000222D0000}"/>
    <cellStyle name="Normal 89 3 4" xfId="11585" xr:uid="{00000000-0005-0000-0000-0000232D0000}"/>
    <cellStyle name="Normal 89 3 4 2" xfId="11586" xr:uid="{00000000-0005-0000-0000-0000242D0000}"/>
    <cellStyle name="Normal 89 3 5" xfId="11587" xr:uid="{00000000-0005-0000-0000-0000252D0000}"/>
    <cellStyle name="Normal 89 3 5 2" xfId="11588" xr:uid="{00000000-0005-0000-0000-0000262D0000}"/>
    <cellStyle name="Normal 89 3 6" xfId="11589" xr:uid="{00000000-0005-0000-0000-0000272D0000}"/>
    <cellStyle name="Normal 89 4" xfId="11590" xr:uid="{00000000-0005-0000-0000-0000282D0000}"/>
    <cellStyle name="Normal 89 4 2" xfId="11591" xr:uid="{00000000-0005-0000-0000-0000292D0000}"/>
    <cellStyle name="Normal 89 4 2 2" xfId="11592" xr:uid="{00000000-0005-0000-0000-00002A2D0000}"/>
    <cellStyle name="Normal 89 4 3" xfId="11593" xr:uid="{00000000-0005-0000-0000-00002B2D0000}"/>
    <cellStyle name="Normal 89 4 3 2" xfId="11594" xr:uid="{00000000-0005-0000-0000-00002C2D0000}"/>
    <cellStyle name="Normal 89 4 4" xfId="11595" xr:uid="{00000000-0005-0000-0000-00002D2D0000}"/>
    <cellStyle name="Normal 89 5" xfId="11596" xr:uid="{00000000-0005-0000-0000-00002E2D0000}"/>
    <cellStyle name="Normal 89 5 2" xfId="11597" xr:uid="{00000000-0005-0000-0000-00002F2D0000}"/>
    <cellStyle name="Normal 89 5 2 2" xfId="11598" xr:uid="{00000000-0005-0000-0000-0000302D0000}"/>
    <cellStyle name="Normal 89 5 3" xfId="11599" xr:uid="{00000000-0005-0000-0000-0000312D0000}"/>
    <cellStyle name="Normal 89 6" xfId="11600" xr:uid="{00000000-0005-0000-0000-0000322D0000}"/>
    <cellStyle name="Normal 89 6 2" xfId="11601" xr:uid="{00000000-0005-0000-0000-0000332D0000}"/>
    <cellStyle name="Normal 89 7" xfId="11602" xr:uid="{00000000-0005-0000-0000-0000342D0000}"/>
    <cellStyle name="Normal 89 7 2" xfId="11603" xr:uid="{00000000-0005-0000-0000-0000352D0000}"/>
    <cellStyle name="Normal 89 8" xfId="11604" xr:uid="{00000000-0005-0000-0000-0000362D0000}"/>
    <cellStyle name="Normal 9" xfId="208" xr:uid="{00000000-0005-0000-0000-0000372D0000}"/>
    <cellStyle name="Normal 9 2" xfId="11605" xr:uid="{00000000-0005-0000-0000-0000382D0000}"/>
    <cellStyle name="Normal 9 2 2" xfId="11606" xr:uid="{00000000-0005-0000-0000-0000392D0000}"/>
    <cellStyle name="Normal 9 3" xfId="11607" xr:uid="{00000000-0005-0000-0000-00003A2D0000}"/>
    <cellStyle name="Normal 9 4" xfId="11608" xr:uid="{00000000-0005-0000-0000-00003B2D0000}"/>
    <cellStyle name="Normal 9 4 2" xfId="11609" xr:uid="{00000000-0005-0000-0000-00003C2D0000}"/>
    <cellStyle name="Normal 9 4 2 2" xfId="11610" xr:uid="{00000000-0005-0000-0000-00003D2D0000}"/>
    <cellStyle name="Normal 9 4 3" xfId="11611" xr:uid="{00000000-0005-0000-0000-00003E2D0000}"/>
    <cellStyle name="Normal 9 5" xfId="11612" xr:uid="{00000000-0005-0000-0000-00003F2D0000}"/>
    <cellStyle name="Normal 90" xfId="11613" xr:uid="{00000000-0005-0000-0000-0000402D0000}"/>
    <cellStyle name="Normal 90 2" xfId="11614" xr:uid="{00000000-0005-0000-0000-0000412D0000}"/>
    <cellStyle name="Normal 90 2 2" xfId="11615" xr:uid="{00000000-0005-0000-0000-0000422D0000}"/>
    <cellStyle name="Normal 90 2 2 2" xfId="11616" xr:uid="{00000000-0005-0000-0000-0000432D0000}"/>
    <cellStyle name="Normal 90 2 2 2 2" xfId="11617" xr:uid="{00000000-0005-0000-0000-0000442D0000}"/>
    <cellStyle name="Normal 90 2 2 2 2 2" xfId="11618" xr:uid="{00000000-0005-0000-0000-0000452D0000}"/>
    <cellStyle name="Normal 90 2 2 2 3" xfId="11619" xr:uid="{00000000-0005-0000-0000-0000462D0000}"/>
    <cellStyle name="Normal 90 2 2 2 3 2" xfId="11620" xr:uid="{00000000-0005-0000-0000-0000472D0000}"/>
    <cellStyle name="Normal 90 2 2 2 4" xfId="11621" xr:uid="{00000000-0005-0000-0000-0000482D0000}"/>
    <cellStyle name="Normal 90 2 2 3" xfId="11622" xr:uid="{00000000-0005-0000-0000-0000492D0000}"/>
    <cellStyle name="Normal 90 2 2 3 2" xfId="11623" xr:uid="{00000000-0005-0000-0000-00004A2D0000}"/>
    <cellStyle name="Normal 90 2 2 3 2 2" xfId="11624" xr:uid="{00000000-0005-0000-0000-00004B2D0000}"/>
    <cellStyle name="Normal 90 2 2 3 3" xfId="11625" xr:uid="{00000000-0005-0000-0000-00004C2D0000}"/>
    <cellStyle name="Normal 90 2 2 4" xfId="11626" xr:uid="{00000000-0005-0000-0000-00004D2D0000}"/>
    <cellStyle name="Normal 90 2 2 4 2" xfId="11627" xr:uid="{00000000-0005-0000-0000-00004E2D0000}"/>
    <cellStyle name="Normal 90 2 2 5" xfId="11628" xr:uid="{00000000-0005-0000-0000-00004F2D0000}"/>
    <cellStyle name="Normal 90 2 2 5 2" xfId="11629" xr:uid="{00000000-0005-0000-0000-0000502D0000}"/>
    <cellStyle name="Normal 90 2 2 6" xfId="11630" xr:uid="{00000000-0005-0000-0000-0000512D0000}"/>
    <cellStyle name="Normal 90 2 3" xfId="11631" xr:uid="{00000000-0005-0000-0000-0000522D0000}"/>
    <cellStyle name="Normal 90 2 3 2" xfId="11632" xr:uid="{00000000-0005-0000-0000-0000532D0000}"/>
    <cellStyle name="Normal 90 2 3 2 2" xfId="11633" xr:uid="{00000000-0005-0000-0000-0000542D0000}"/>
    <cellStyle name="Normal 90 2 3 3" xfId="11634" xr:uid="{00000000-0005-0000-0000-0000552D0000}"/>
    <cellStyle name="Normal 90 2 3 3 2" xfId="11635" xr:uid="{00000000-0005-0000-0000-0000562D0000}"/>
    <cellStyle name="Normal 90 2 3 4" xfId="11636" xr:uid="{00000000-0005-0000-0000-0000572D0000}"/>
    <cellStyle name="Normal 90 2 4" xfId="11637" xr:uid="{00000000-0005-0000-0000-0000582D0000}"/>
    <cellStyle name="Normal 90 2 4 2" xfId="11638" xr:uid="{00000000-0005-0000-0000-0000592D0000}"/>
    <cellStyle name="Normal 90 2 4 2 2" xfId="11639" xr:uid="{00000000-0005-0000-0000-00005A2D0000}"/>
    <cellStyle name="Normal 90 2 4 3" xfId="11640" xr:uid="{00000000-0005-0000-0000-00005B2D0000}"/>
    <cellStyle name="Normal 90 2 5" xfId="11641" xr:uid="{00000000-0005-0000-0000-00005C2D0000}"/>
    <cellStyle name="Normal 90 2 5 2" xfId="11642" xr:uid="{00000000-0005-0000-0000-00005D2D0000}"/>
    <cellStyle name="Normal 90 2 6" xfId="11643" xr:uid="{00000000-0005-0000-0000-00005E2D0000}"/>
    <cellStyle name="Normal 90 2 6 2" xfId="11644" xr:uid="{00000000-0005-0000-0000-00005F2D0000}"/>
    <cellStyle name="Normal 90 2 7" xfId="11645" xr:uid="{00000000-0005-0000-0000-0000602D0000}"/>
    <cellStyle name="Normal 90 3" xfId="11646" xr:uid="{00000000-0005-0000-0000-0000612D0000}"/>
    <cellStyle name="Normal 90 3 2" xfId="11647" xr:uid="{00000000-0005-0000-0000-0000622D0000}"/>
    <cellStyle name="Normal 90 3 2 2" xfId="11648" xr:uid="{00000000-0005-0000-0000-0000632D0000}"/>
    <cellStyle name="Normal 90 3 2 2 2" xfId="11649" xr:uid="{00000000-0005-0000-0000-0000642D0000}"/>
    <cellStyle name="Normal 90 3 2 3" xfId="11650" xr:uid="{00000000-0005-0000-0000-0000652D0000}"/>
    <cellStyle name="Normal 90 3 2 3 2" xfId="11651" xr:uid="{00000000-0005-0000-0000-0000662D0000}"/>
    <cellStyle name="Normal 90 3 2 4" xfId="11652" xr:uid="{00000000-0005-0000-0000-0000672D0000}"/>
    <cellStyle name="Normal 90 3 3" xfId="11653" xr:uid="{00000000-0005-0000-0000-0000682D0000}"/>
    <cellStyle name="Normal 90 3 3 2" xfId="11654" xr:uid="{00000000-0005-0000-0000-0000692D0000}"/>
    <cellStyle name="Normal 90 3 3 2 2" xfId="11655" xr:uid="{00000000-0005-0000-0000-00006A2D0000}"/>
    <cellStyle name="Normal 90 3 3 3" xfId="11656" xr:uid="{00000000-0005-0000-0000-00006B2D0000}"/>
    <cellStyle name="Normal 90 3 4" xfId="11657" xr:uid="{00000000-0005-0000-0000-00006C2D0000}"/>
    <cellStyle name="Normal 90 3 4 2" xfId="11658" xr:uid="{00000000-0005-0000-0000-00006D2D0000}"/>
    <cellStyle name="Normal 90 3 5" xfId="11659" xr:uid="{00000000-0005-0000-0000-00006E2D0000}"/>
    <cellStyle name="Normal 90 3 5 2" xfId="11660" xr:uid="{00000000-0005-0000-0000-00006F2D0000}"/>
    <cellStyle name="Normal 90 3 6" xfId="11661" xr:uid="{00000000-0005-0000-0000-0000702D0000}"/>
    <cellStyle name="Normal 90 4" xfId="11662" xr:uid="{00000000-0005-0000-0000-0000712D0000}"/>
    <cellStyle name="Normal 90 4 2" xfId="11663" xr:uid="{00000000-0005-0000-0000-0000722D0000}"/>
    <cellStyle name="Normal 90 4 2 2" xfId="11664" xr:uid="{00000000-0005-0000-0000-0000732D0000}"/>
    <cellStyle name="Normal 90 4 3" xfId="11665" xr:uid="{00000000-0005-0000-0000-0000742D0000}"/>
    <cellStyle name="Normal 90 4 3 2" xfId="11666" xr:uid="{00000000-0005-0000-0000-0000752D0000}"/>
    <cellStyle name="Normal 90 4 4" xfId="11667" xr:uid="{00000000-0005-0000-0000-0000762D0000}"/>
    <cellStyle name="Normal 90 5" xfId="11668" xr:uid="{00000000-0005-0000-0000-0000772D0000}"/>
    <cellStyle name="Normal 90 5 2" xfId="11669" xr:uid="{00000000-0005-0000-0000-0000782D0000}"/>
    <cellStyle name="Normal 90 5 2 2" xfId="11670" xr:uid="{00000000-0005-0000-0000-0000792D0000}"/>
    <cellStyle name="Normal 90 5 3" xfId="11671" xr:uid="{00000000-0005-0000-0000-00007A2D0000}"/>
    <cellStyle name="Normal 90 6" xfId="11672" xr:uid="{00000000-0005-0000-0000-00007B2D0000}"/>
    <cellStyle name="Normal 90 6 2" xfId="11673" xr:uid="{00000000-0005-0000-0000-00007C2D0000}"/>
    <cellStyle name="Normal 90 7" xfId="11674" xr:uid="{00000000-0005-0000-0000-00007D2D0000}"/>
    <cellStyle name="Normal 90 7 2" xfId="11675" xr:uid="{00000000-0005-0000-0000-00007E2D0000}"/>
    <cellStyle name="Normal 90 8" xfId="11676" xr:uid="{00000000-0005-0000-0000-00007F2D0000}"/>
    <cellStyle name="Normal 91" xfId="11677" xr:uid="{00000000-0005-0000-0000-0000802D0000}"/>
    <cellStyle name="Normal 91 2" xfId="11678" xr:uid="{00000000-0005-0000-0000-0000812D0000}"/>
    <cellStyle name="Normal 91 2 2" xfId="11679" xr:uid="{00000000-0005-0000-0000-0000822D0000}"/>
    <cellStyle name="Normal 91 2 2 2" xfId="11680" xr:uid="{00000000-0005-0000-0000-0000832D0000}"/>
    <cellStyle name="Normal 91 2 2 2 2" xfId="11681" xr:uid="{00000000-0005-0000-0000-0000842D0000}"/>
    <cellStyle name="Normal 91 2 2 2 2 2" xfId="11682" xr:uid="{00000000-0005-0000-0000-0000852D0000}"/>
    <cellStyle name="Normal 91 2 2 2 3" xfId="11683" xr:uid="{00000000-0005-0000-0000-0000862D0000}"/>
    <cellStyle name="Normal 91 2 2 2 3 2" xfId="11684" xr:uid="{00000000-0005-0000-0000-0000872D0000}"/>
    <cellStyle name="Normal 91 2 2 2 4" xfId="11685" xr:uid="{00000000-0005-0000-0000-0000882D0000}"/>
    <cellStyle name="Normal 91 2 2 3" xfId="11686" xr:uid="{00000000-0005-0000-0000-0000892D0000}"/>
    <cellStyle name="Normal 91 2 2 3 2" xfId="11687" xr:uid="{00000000-0005-0000-0000-00008A2D0000}"/>
    <cellStyle name="Normal 91 2 2 3 2 2" xfId="11688" xr:uid="{00000000-0005-0000-0000-00008B2D0000}"/>
    <cellStyle name="Normal 91 2 2 3 3" xfId="11689" xr:uid="{00000000-0005-0000-0000-00008C2D0000}"/>
    <cellStyle name="Normal 91 2 2 4" xfId="11690" xr:uid="{00000000-0005-0000-0000-00008D2D0000}"/>
    <cellStyle name="Normal 91 2 2 4 2" xfId="11691" xr:uid="{00000000-0005-0000-0000-00008E2D0000}"/>
    <cellStyle name="Normal 91 2 2 5" xfId="11692" xr:uid="{00000000-0005-0000-0000-00008F2D0000}"/>
    <cellStyle name="Normal 91 2 2 5 2" xfId="11693" xr:uid="{00000000-0005-0000-0000-0000902D0000}"/>
    <cellStyle name="Normal 91 2 2 6" xfId="11694" xr:uid="{00000000-0005-0000-0000-0000912D0000}"/>
    <cellStyle name="Normal 91 2 3" xfId="11695" xr:uid="{00000000-0005-0000-0000-0000922D0000}"/>
    <cellStyle name="Normal 91 2 3 2" xfId="11696" xr:uid="{00000000-0005-0000-0000-0000932D0000}"/>
    <cellStyle name="Normal 91 2 3 2 2" xfId="11697" xr:uid="{00000000-0005-0000-0000-0000942D0000}"/>
    <cellStyle name="Normal 91 2 3 3" xfId="11698" xr:uid="{00000000-0005-0000-0000-0000952D0000}"/>
    <cellStyle name="Normal 91 2 3 3 2" xfId="11699" xr:uid="{00000000-0005-0000-0000-0000962D0000}"/>
    <cellStyle name="Normal 91 2 3 4" xfId="11700" xr:uid="{00000000-0005-0000-0000-0000972D0000}"/>
    <cellStyle name="Normal 91 2 4" xfId="11701" xr:uid="{00000000-0005-0000-0000-0000982D0000}"/>
    <cellStyle name="Normal 91 2 4 2" xfId="11702" xr:uid="{00000000-0005-0000-0000-0000992D0000}"/>
    <cellStyle name="Normal 91 2 4 2 2" xfId="11703" xr:uid="{00000000-0005-0000-0000-00009A2D0000}"/>
    <cellStyle name="Normal 91 2 4 3" xfId="11704" xr:uid="{00000000-0005-0000-0000-00009B2D0000}"/>
    <cellStyle name="Normal 91 2 5" xfId="11705" xr:uid="{00000000-0005-0000-0000-00009C2D0000}"/>
    <cellStyle name="Normal 91 2 5 2" xfId="11706" xr:uid="{00000000-0005-0000-0000-00009D2D0000}"/>
    <cellStyle name="Normal 91 2 6" xfId="11707" xr:uid="{00000000-0005-0000-0000-00009E2D0000}"/>
    <cellStyle name="Normal 91 2 6 2" xfId="11708" xr:uid="{00000000-0005-0000-0000-00009F2D0000}"/>
    <cellStyle name="Normal 91 2 7" xfId="11709" xr:uid="{00000000-0005-0000-0000-0000A02D0000}"/>
    <cellStyle name="Normal 91 3" xfId="11710" xr:uid="{00000000-0005-0000-0000-0000A12D0000}"/>
    <cellStyle name="Normal 91 3 2" xfId="11711" xr:uid="{00000000-0005-0000-0000-0000A22D0000}"/>
    <cellStyle name="Normal 91 3 2 2" xfId="11712" xr:uid="{00000000-0005-0000-0000-0000A32D0000}"/>
    <cellStyle name="Normal 91 3 2 2 2" xfId="11713" xr:uid="{00000000-0005-0000-0000-0000A42D0000}"/>
    <cellStyle name="Normal 91 3 2 3" xfId="11714" xr:uid="{00000000-0005-0000-0000-0000A52D0000}"/>
    <cellStyle name="Normal 91 3 2 3 2" xfId="11715" xr:uid="{00000000-0005-0000-0000-0000A62D0000}"/>
    <cellStyle name="Normal 91 3 2 4" xfId="11716" xr:uid="{00000000-0005-0000-0000-0000A72D0000}"/>
    <cellStyle name="Normal 91 3 3" xfId="11717" xr:uid="{00000000-0005-0000-0000-0000A82D0000}"/>
    <cellStyle name="Normal 91 3 3 2" xfId="11718" xr:uid="{00000000-0005-0000-0000-0000A92D0000}"/>
    <cellStyle name="Normal 91 3 3 2 2" xfId="11719" xr:uid="{00000000-0005-0000-0000-0000AA2D0000}"/>
    <cellStyle name="Normal 91 3 3 3" xfId="11720" xr:uid="{00000000-0005-0000-0000-0000AB2D0000}"/>
    <cellStyle name="Normal 91 3 4" xfId="11721" xr:uid="{00000000-0005-0000-0000-0000AC2D0000}"/>
    <cellStyle name="Normal 91 3 4 2" xfId="11722" xr:uid="{00000000-0005-0000-0000-0000AD2D0000}"/>
    <cellStyle name="Normal 91 3 5" xfId="11723" xr:uid="{00000000-0005-0000-0000-0000AE2D0000}"/>
    <cellStyle name="Normal 91 3 5 2" xfId="11724" xr:uid="{00000000-0005-0000-0000-0000AF2D0000}"/>
    <cellStyle name="Normal 91 3 6" xfId="11725" xr:uid="{00000000-0005-0000-0000-0000B02D0000}"/>
    <cellStyle name="Normal 91 4" xfId="11726" xr:uid="{00000000-0005-0000-0000-0000B12D0000}"/>
    <cellStyle name="Normal 91 4 2" xfId="11727" xr:uid="{00000000-0005-0000-0000-0000B22D0000}"/>
    <cellStyle name="Normal 91 4 2 2" xfId="11728" xr:uid="{00000000-0005-0000-0000-0000B32D0000}"/>
    <cellStyle name="Normal 91 4 3" xfId="11729" xr:uid="{00000000-0005-0000-0000-0000B42D0000}"/>
    <cellStyle name="Normal 91 4 3 2" xfId="11730" xr:uid="{00000000-0005-0000-0000-0000B52D0000}"/>
    <cellStyle name="Normal 91 4 4" xfId="11731" xr:uid="{00000000-0005-0000-0000-0000B62D0000}"/>
    <cellStyle name="Normal 91 5" xfId="11732" xr:uid="{00000000-0005-0000-0000-0000B72D0000}"/>
    <cellStyle name="Normal 91 5 2" xfId="11733" xr:uid="{00000000-0005-0000-0000-0000B82D0000}"/>
    <cellStyle name="Normal 91 5 2 2" xfId="11734" xr:uid="{00000000-0005-0000-0000-0000B92D0000}"/>
    <cellStyle name="Normal 91 5 3" xfId="11735" xr:uid="{00000000-0005-0000-0000-0000BA2D0000}"/>
    <cellStyle name="Normal 91 6" xfId="11736" xr:uid="{00000000-0005-0000-0000-0000BB2D0000}"/>
    <cellStyle name="Normal 91 6 2" xfId="11737" xr:uid="{00000000-0005-0000-0000-0000BC2D0000}"/>
    <cellStyle name="Normal 91 7" xfId="11738" xr:uid="{00000000-0005-0000-0000-0000BD2D0000}"/>
    <cellStyle name="Normal 91 7 2" xfId="11739" xr:uid="{00000000-0005-0000-0000-0000BE2D0000}"/>
    <cellStyle name="Normal 91 8" xfId="11740" xr:uid="{00000000-0005-0000-0000-0000BF2D0000}"/>
    <cellStyle name="Normal 92" xfId="11741" xr:uid="{00000000-0005-0000-0000-0000C02D0000}"/>
    <cellStyle name="Normal 92 2" xfId="11742" xr:uid="{00000000-0005-0000-0000-0000C12D0000}"/>
    <cellStyle name="Normal 92 2 2" xfId="11743" xr:uid="{00000000-0005-0000-0000-0000C22D0000}"/>
    <cellStyle name="Normal 92 2 2 2" xfId="11744" xr:uid="{00000000-0005-0000-0000-0000C32D0000}"/>
    <cellStyle name="Normal 92 2 2 2 2" xfId="11745" xr:uid="{00000000-0005-0000-0000-0000C42D0000}"/>
    <cellStyle name="Normal 92 2 2 2 2 2" xfId="11746" xr:uid="{00000000-0005-0000-0000-0000C52D0000}"/>
    <cellStyle name="Normal 92 2 2 2 3" xfId="11747" xr:uid="{00000000-0005-0000-0000-0000C62D0000}"/>
    <cellStyle name="Normal 92 2 2 2 3 2" xfId="11748" xr:uid="{00000000-0005-0000-0000-0000C72D0000}"/>
    <cellStyle name="Normal 92 2 2 2 4" xfId="11749" xr:uid="{00000000-0005-0000-0000-0000C82D0000}"/>
    <cellStyle name="Normal 92 2 2 3" xfId="11750" xr:uid="{00000000-0005-0000-0000-0000C92D0000}"/>
    <cellStyle name="Normal 92 2 2 3 2" xfId="11751" xr:uid="{00000000-0005-0000-0000-0000CA2D0000}"/>
    <cellStyle name="Normal 92 2 2 3 2 2" xfId="11752" xr:uid="{00000000-0005-0000-0000-0000CB2D0000}"/>
    <cellStyle name="Normal 92 2 2 3 3" xfId="11753" xr:uid="{00000000-0005-0000-0000-0000CC2D0000}"/>
    <cellStyle name="Normal 92 2 2 4" xfId="11754" xr:uid="{00000000-0005-0000-0000-0000CD2D0000}"/>
    <cellStyle name="Normal 92 2 2 4 2" xfId="11755" xr:uid="{00000000-0005-0000-0000-0000CE2D0000}"/>
    <cellStyle name="Normal 92 2 2 5" xfId="11756" xr:uid="{00000000-0005-0000-0000-0000CF2D0000}"/>
    <cellStyle name="Normal 92 2 2 5 2" xfId="11757" xr:uid="{00000000-0005-0000-0000-0000D02D0000}"/>
    <cellStyle name="Normal 92 2 2 6" xfId="11758" xr:uid="{00000000-0005-0000-0000-0000D12D0000}"/>
    <cellStyle name="Normal 92 2 3" xfId="11759" xr:uid="{00000000-0005-0000-0000-0000D22D0000}"/>
    <cellStyle name="Normal 92 2 3 2" xfId="11760" xr:uid="{00000000-0005-0000-0000-0000D32D0000}"/>
    <cellStyle name="Normal 92 2 3 2 2" xfId="11761" xr:uid="{00000000-0005-0000-0000-0000D42D0000}"/>
    <cellStyle name="Normal 92 2 3 3" xfId="11762" xr:uid="{00000000-0005-0000-0000-0000D52D0000}"/>
    <cellStyle name="Normal 92 2 3 3 2" xfId="11763" xr:uid="{00000000-0005-0000-0000-0000D62D0000}"/>
    <cellStyle name="Normal 92 2 3 4" xfId="11764" xr:uid="{00000000-0005-0000-0000-0000D72D0000}"/>
    <cellStyle name="Normal 92 2 4" xfId="11765" xr:uid="{00000000-0005-0000-0000-0000D82D0000}"/>
    <cellStyle name="Normal 92 2 4 2" xfId="11766" xr:uid="{00000000-0005-0000-0000-0000D92D0000}"/>
    <cellStyle name="Normal 92 2 4 2 2" xfId="11767" xr:uid="{00000000-0005-0000-0000-0000DA2D0000}"/>
    <cellStyle name="Normal 92 2 4 3" xfId="11768" xr:uid="{00000000-0005-0000-0000-0000DB2D0000}"/>
    <cellStyle name="Normal 92 2 5" xfId="11769" xr:uid="{00000000-0005-0000-0000-0000DC2D0000}"/>
    <cellStyle name="Normal 92 2 5 2" xfId="11770" xr:uid="{00000000-0005-0000-0000-0000DD2D0000}"/>
    <cellStyle name="Normal 92 2 6" xfId="11771" xr:uid="{00000000-0005-0000-0000-0000DE2D0000}"/>
    <cellStyle name="Normal 92 2 6 2" xfId="11772" xr:uid="{00000000-0005-0000-0000-0000DF2D0000}"/>
    <cellStyle name="Normal 92 2 7" xfId="11773" xr:uid="{00000000-0005-0000-0000-0000E02D0000}"/>
    <cellStyle name="Normal 92 3" xfId="11774" xr:uid="{00000000-0005-0000-0000-0000E12D0000}"/>
    <cellStyle name="Normal 92 3 2" xfId="11775" xr:uid="{00000000-0005-0000-0000-0000E22D0000}"/>
    <cellStyle name="Normal 92 3 2 2" xfId="11776" xr:uid="{00000000-0005-0000-0000-0000E32D0000}"/>
    <cellStyle name="Normal 92 3 2 2 2" xfId="11777" xr:uid="{00000000-0005-0000-0000-0000E42D0000}"/>
    <cellStyle name="Normal 92 3 2 3" xfId="11778" xr:uid="{00000000-0005-0000-0000-0000E52D0000}"/>
    <cellStyle name="Normal 92 3 2 3 2" xfId="11779" xr:uid="{00000000-0005-0000-0000-0000E62D0000}"/>
    <cellStyle name="Normal 92 3 2 4" xfId="11780" xr:uid="{00000000-0005-0000-0000-0000E72D0000}"/>
    <cellStyle name="Normal 92 3 3" xfId="11781" xr:uid="{00000000-0005-0000-0000-0000E82D0000}"/>
    <cellStyle name="Normal 92 3 3 2" xfId="11782" xr:uid="{00000000-0005-0000-0000-0000E92D0000}"/>
    <cellStyle name="Normal 92 3 3 2 2" xfId="11783" xr:uid="{00000000-0005-0000-0000-0000EA2D0000}"/>
    <cellStyle name="Normal 92 3 3 3" xfId="11784" xr:uid="{00000000-0005-0000-0000-0000EB2D0000}"/>
    <cellStyle name="Normal 92 3 4" xfId="11785" xr:uid="{00000000-0005-0000-0000-0000EC2D0000}"/>
    <cellStyle name="Normal 92 3 4 2" xfId="11786" xr:uid="{00000000-0005-0000-0000-0000ED2D0000}"/>
    <cellStyle name="Normal 92 3 5" xfId="11787" xr:uid="{00000000-0005-0000-0000-0000EE2D0000}"/>
    <cellStyle name="Normal 92 3 5 2" xfId="11788" xr:uid="{00000000-0005-0000-0000-0000EF2D0000}"/>
    <cellStyle name="Normal 92 3 6" xfId="11789" xr:uid="{00000000-0005-0000-0000-0000F02D0000}"/>
    <cellStyle name="Normal 92 4" xfId="11790" xr:uid="{00000000-0005-0000-0000-0000F12D0000}"/>
    <cellStyle name="Normal 92 4 2" xfId="11791" xr:uid="{00000000-0005-0000-0000-0000F22D0000}"/>
    <cellStyle name="Normal 92 4 2 2" xfId="11792" xr:uid="{00000000-0005-0000-0000-0000F32D0000}"/>
    <cellStyle name="Normal 92 4 3" xfId="11793" xr:uid="{00000000-0005-0000-0000-0000F42D0000}"/>
    <cellStyle name="Normal 92 4 3 2" xfId="11794" xr:uid="{00000000-0005-0000-0000-0000F52D0000}"/>
    <cellStyle name="Normal 92 4 4" xfId="11795" xr:uid="{00000000-0005-0000-0000-0000F62D0000}"/>
    <cellStyle name="Normal 92 5" xfId="11796" xr:uid="{00000000-0005-0000-0000-0000F72D0000}"/>
    <cellStyle name="Normal 92 5 2" xfId="11797" xr:uid="{00000000-0005-0000-0000-0000F82D0000}"/>
    <cellStyle name="Normal 92 5 2 2" xfId="11798" xr:uid="{00000000-0005-0000-0000-0000F92D0000}"/>
    <cellStyle name="Normal 92 5 3" xfId="11799" xr:uid="{00000000-0005-0000-0000-0000FA2D0000}"/>
    <cellStyle name="Normal 92 6" xfId="11800" xr:uid="{00000000-0005-0000-0000-0000FB2D0000}"/>
    <cellStyle name="Normal 92 6 2" xfId="11801" xr:uid="{00000000-0005-0000-0000-0000FC2D0000}"/>
    <cellStyle name="Normal 92 7" xfId="11802" xr:uid="{00000000-0005-0000-0000-0000FD2D0000}"/>
    <cellStyle name="Normal 92 7 2" xfId="11803" xr:uid="{00000000-0005-0000-0000-0000FE2D0000}"/>
    <cellStyle name="Normal 92 8" xfId="11804" xr:uid="{00000000-0005-0000-0000-0000FF2D0000}"/>
    <cellStyle name="Normal 93" xfId="11805" xr:uid="{00000000-0005-0000-0000-0000002E0000}"/>
    <cellStyle name="Normal 93 2" xfId="11806" xr:uid="{00000000-0005-0000-0000-0000012E0000}"/>
    <cellStyle name="Normal 93 2 2" xfId="11807" xr:uid="{00000000-0005-0000-0000-0000022E0000}"/>
    <cellStyle name="Normal 93 2 2 2" xfId="11808" xr:uid="{00000000-0005-0000-0000-0000032E0000}"/>
    <cellStyle name="Normal 93 2 2 2 2" xfId="11809" xr:uid="{00000000-0005-0000-0000-0000042E0000}"/>
    <cellStyle name="Normal 93 2 2 2 2 2" xfId="11810" xr:uid="{00000000-0005-0000-0000-0000052E0000}"/>
    <cellStyle name="Normal 93 2 2 2 3" xfId="11811" xr:uid="{00000000-0005-0000-0000-0000062E0000}"/>
    <cellStyle name="Normal 93 2 2 2 3 2" xfId="11812" xr:uid="{00000000-0005-0000-0000-0000072E0000}"/>
    <cellStyle name="Normal 93 2 2 2 4" xfId="11813" xr:uid="{00000000-0005-0000-0000-0000082E0000}"/>
    <cellStyle name="Normal 93 2 2 3" xfId="11814" xr:uid="{00000000-0005-0000-0000-0000092E0000}"/>
    <cellStyle name="Normal 93 2 2 3 2" xfId="11815" xr:uid="{00000000-0005-0000-0000-00000A2E0000}"/>
    <cellStyle name="Normal 93 2 2 3 2 2" xfId="11816" xr:uid="{00000000-0005-0000-0000-00000B2E0000}"/>
    <cellStyle name="Normal 93 2 2 3 3" xfId="11817" xr:uid="{00000000-0005-0000-0000-00000C2E0000}"/>
    <cellStyle name="Normal 93 2 2 4" xfId="11818" xr:uid="{00000000-0005-0000-0000-00000D2E0000}"/>
    <cellStyle name="Normal 93 2 2 4 2" xfId="11819" xr:uid="{00000000-0005-0000-0000-00000E2E0000}"/>
    <cellStyle name="Normal 93 2 2 5" xfId="11820" xr:uid="{00000000-0005-0000-0000-00000F2E0000}"/>
    <cellStyle name="Normal 93 2 2 5 2" xfId="11821" xr:uid="{00000000-0005-0000-0000-0000102E0000}"/>
    <cellStyle name="Normal 93 2 2 6" xfId="11822" xr:uid="{00000000-0005-0000-0000-0000112E0000}"/>
    <cellStyle name="Normal 93 2 3" xfId="11823" xr:uid="{00000000-0005-0000-0000-0000122E0000}"/>
    <cellStyle name="Normal 93 2 3 2" xfId="11824" xr:uid="{00000000-0005-0000-0000-0000132E0000}"/>
    <cellStyle name="Normal 93 2 3 2 2" xfId="11825" xr:uid="{00000000-0005-0000-0000-0000142E0000}"/>
    <cellStyle name="Normal 93 2 3 3" xfId="11826" xr:uid="{00000000-0005-0000-0000-0000152E0000}"/>
    <cellStyle name="Normal 93 2 3 3 2" xfId="11827" xr:uid="{00000000-0005-0000-0000-0000162E0000}"/>
    <cellStyle name="Normal 93 2 3 4" xfId="11828" xr:uid="{00000000-0005-0000-0000-0000172E0000}"/>
    <cellStyle name="Normal 93 2 4" xfId="11829" xr:uid="{00000000-0005-0000-0000-0000182E0000}"/>
    <cellStyle name="Normal 93 2 4 2" xfId="11830" xr:uid="{00000000-0005-0000-0000-0000192E0000}"/>
    <cellStyle name="Normal 93 2 4 2 2" xfId="11831" xr:uid="{00000000-0005-0000-0000-00001A2E0000}"/>
    <cellStyle name="Normal 93 2 4 3" xfId="11832" xr:uid="{00000000-0005-0000-0000-00001B2E0000}"/>
    <cellStyle name="Normal 93 2 5" xfId="11833" xr:uid="{00000000-0005-0000-0000-00001C2E0000}"/>
    <cellStyle name="Normal 93 2 5 2" xfId="11834" xr:uid="{00000000-0005-0000-0000-00001D2E0000}"/>
    <cellStyle name="Normal 93 2 6" xfId="11835" xr:uid="{00000000-0005-0000-0000-00001E2E0000}"/>
    <cellStyle name="Normal 93 2 6 2" xfId="11836" xr:uid="{00000000-0005-0000-0000-00001F2E0000}"/>
    <cellStyle name="Normal 93 2 7" xfId="11837" xr:uid="{00000000-0005-0000-0000-0000202E0000}"/>
    <cellStyle name="Normal 93 3" xfId="11838" xr:uid="{00000000-0005-0000-0000-0000212E0000}"/>
    <cellStyle name="Normal 93 3 2" xfId="11839" xr:uid="{00000000-0005-0000-0000-0000222E0000}"/>
    <cellStyle name="Normal 93 3 2 2" xfId="11840" xr:uid="{00000000-0005-0000-0000-0000232E0000}"/>
    <cellStyle name="Normal 93 3 2 2 2" xfId="11841" xr:uid="{00000000-0005-0000-0000-0000242E0000}"/>
    <cellStyle name="Normal 93 3 2 3" xfId="11842" xr:uid="{00000000-0005-0000-0000-0000252E0000}"/>
    <cellStyle name="Normal 93 3 2 3 2" xfId="11843" xr:uid="{00000000-0005-0000-0000-0000262E0000}"/>
    <cellStyle name="Normal 93 3 2 4" xfId="11844" xr:uid="{00000000-0005-0000-0000-0000272E0000}"/>
    <cellStyle name="Normal 93 3 3" xfId="11845" xr:uid="{00000000-0005-0000-0000-0000282E0000}"/>
    <cellStyle name="Normal 93 3 3 2" xfId="11846" xr:uid="{00000000-0005-0000-0000-0000292E0000}"/>
    <cellStyle name="Normal 93 3 3 2 2" xfId="11847" xr:uid="{00000000-0005-0000-0000-00002A2E0000}"/>
    <cellStyle name="Normal 93 3 3 3" xfId="11848" xr:uid="{00000000-0005-0000-0000-00002B2E0000}"/>
    <cellStyle name="Normal 93 3 4" xfId="11849" xr:uid="{00000000-0005-0000-0000-00002C2E0000}"/>
    <cellStyle name="Normal 93 3 4 2" xfId="11850" xr:uid="{00000000-0005-0000-0000-00002D2E0000}"/>
    <cellStyle name="Normal 93 3 5" xfId="11851" xr:uid="{00000000-0005-0000-0000-00002E2E0000}"/>
    <cellStyle name="Normal 93 3 5 2" xfId="11852" xr:uid="{00000000-0005-0000-0000-00002F2E0000}"/>
    <cellStyle name="Normal 93 3 6" xfId="11853" xr:uid="{00000000-0005-0000-0000-0000302E0000}"/>
    <cellStyle name="Normal 93 4" xfId="11854" xr:uid="{00000000-0005-0000-0000-0000312E0000}"/>
    <cellStyle name="Normal 93 4 2" xfId="11855" xr:uid="{00000000-0005-0000-0000-0000322E0000}"/>
    <cellStyle name="Normal 93 4 2 2" xfId="11856" xr:uid="{00000000-0005-0000-0000-0000332E0000}"/>
    <cellStyle name="Normal 93 4 3" xfId="11857" xr:uid="{00000000-0005-0000-0000-0000342E0000}"/>
    <cellStyle name="Normal 93 4 3 2" xfId="11858" xr:uid="{00000000-0005-0000-0000-0000352E0000}"/>
    <cellStyle name="Normal 93 4 4" xfId="11859" xr:uid="{00000000-0005-0000-0000-0000362E0000}"/>
    <cellStyle name="Normal 93 5" xfId="11860" xr:uid="{00000000-0005-0000-0000-0000372E0000}"/>
    <cellStyle name="Normal 93 5 2" xfId="11861" xr:uid="{00000000-0005-0000-0000-0000382E0000}"/>
    <cellStyle name="Normal 93 5 2 2" xfId="11862" xr:uid="{00000000-0005-0000-0000-0000392E0000}"/>
    <cellStyle name="Normal 93 5 3" xfId="11863" xr:uid="{00000000-0005-0000-0000-00003A2E0000}"/>
    <cellStyle name="Normal 93 6" xfId="11864" xr:uid="{00000000-0005-0000-0000-00003B2E0000}"/>
    <cellStyle name="Normal 93 6 2" xfId="11865" xr:uid="{00000000-0005-0000-0000-00003C2E0000}"/>
    <cellStyle name="Normal 93 7" xfId="11866" xr:uid="{00000000-0005-0000-0000-00003D2E0000}"/>
    <cellStyle name="Normal 93 7 2" xfId="11867" xr:uid="{00000000-0005-0000-0000-00003E2E0000}"/>
    <cellStyle name="Normal 93 8" xfId="11868" xr:uid="{00000000-0005-0000-0000-00003F2E0000}"/>
    <cellStyle name="Normal 94" xfId="11869" xr:uid="{00000000-0005-0000-0000-0000402E0000}"/>
    <cellStyle name="Normal 94 2" xfId="11870" xr:uid="{00000000-0005-0000-0000-0000412E0000}"/>
    <cellStyle name="Normal 95" xfId="11871" xr:uid="{00000000-0005-0000-0000-0000422E0000}"/>
    <cellStyle name="Normal 95 2" xfId="11872" xr:uid="{00000000-0005-0000-0000-0000432E0000}"/>
    <cellStyle name="Normal 96" xfId="11873" xr:uid="{00000000-0005-0000-0000-0000442E0000}"/>
    <cellStyle name="Normal 96 2" xfId="11874" xr:uid="{00000000-0005-0000-0000-0000452E0000}"/>
    <cellStyle name="Normal 97" xfId="11875" xr:uid="{00000000-0005-0000-0000-0000462E0000}"/>
    <cellStyle name="Normal 97 2" xfId="11876" xr:uid="{00000000-0005-0000-0000-0000472E0000}"/>
    <cellStyle name="Normal 98" xfId="11877" xr:uid="{00000000-0005-0000-0000-0000482E0000}"/>
    <cellStyle name="Normal 98 2" xfId="11878" xr:uid="{00000000-0005-0000-0000-0000492E0000}"/>
    <cellStyle name="Normal 99" xfId="11879" xr:uid="{00000000-0005-0000-0000-00004A2E0000}"/>
    <cellStyle name="Normal 99 2" xfId="11880" xr:uid="{00000000-0005-0000-0000-00004B2E0000}"/>
    <cellStyle name="Normal Bold" xfId="11881" xr:uid="{00000000-0005-0000-0000-00004C2E0000}"/>
    <cellStyle name="Normal Pct" xfId="11882" xr:uid="{00000000-0005-0000-0000-00004D2E0000}"/>
    <cellStyle name="Normal, Bold &amp; Underline" xfId="11883" xr:uid="{00000000-0005-0000-0000-00004E2E0000}"/>
    <cellStyle name="NormalBlue" xfId="11884" xr:uid="{00000000-0005-0000-0000-00004F2E0000}"/>
    <cellStyle name="NormalBold" xfId="11885" xr:uid="{00000000-0005-0000-0000-0000502E0000}"/>
    <cellStyle name="Normale_categorie 01_02" xfId="11886" xr:uid="{00000000-0005-0000-0000-0000512E0000}"/>
    <cellStyle name="NormalGB" xfId="11887" xr:uid="{00000000-0005-0000-0000-0000522E0000}"/>
    <cellStyle name="Normal-HelBold" xfId="11888" xr:uid="{00000000-0005-0000-0000-0000532E0000}"/>
    <cellStyle name="Normal-HelUnderline" xfId="11889" xr:uid="{00000000-0005-0000-0000-0000542E0000}"/>
    <cellStyle name="Normal-Helvetica" xfId="11890" xr:uid="{00000000-0005-0000-0000-0000552E0000}"/>
    <cellStyle name="Note 2" xfId="209" xr:uid="{00000000-0005-0000-0000-0000562E0000}"/>
    <cellStyle name="Note 2 2" xfId="210" xr:uid="{00000000-0005-0000-0000-0000572E0000}"/>
    <cellStyle name="Note 2 2 2" xfId="11891" xr:uid="{00000000-0005-0000-0000-0000582E0000}"/>
    <cellStyle name="Note 2 2 3" xfId="11892" xr:uid="{00000000-0005-0000-0000-0000592E0000}"/>
    <cellStyle name="Note 2 2 3 2" xfId="11893" xr:uid="{00000000-0005-0000-0000-00005A2E0000}"/>
    <cellStyle name="Note 2 2 3 2 2" xfId="11894" xr:uid="{00000000-0005-0000-0000-00005B2E0000}"/>
    <cellStyle name="Note 2 2 3 3" xfId="11895" xr:uid="{00000000-0005-0000-0000-00005C2E0000}"/>
    <cellStyle name="Note 2 2 3 4" xfId="11896" xr:uid="{00000000-0005-0000-0000-00005D2E0000}"/>
    <cellStyle name="Note 2 3" xfId="11897" xr:uid="{00000000-0005-0000-0000-00005E2E0000}"/>
    <cellStyle name="Note 2 3 2" xfId="11898" xr:uid="{00000000-0005-0000-0000-00005F2E0000}"/>
    <cellStyle name="Note 2 3 2 2" xfId="11899" xr:uid="{00000000-0005-0000-0000-0000602E0000}"/>
    <cellStyle name="Note 2 3 2 2 2" xfId="11900" xr:uid="{00000000-0005-0000-0000-0000612E0000}"/>
    <cellStyle name="Note 2 3 2 3" xfId="11901" xr:uid="{00000000-0005-0000-0000-0000622E0000}"/>
    <cellStyle name="Note 2 4" xfId="11902" xr:uid="{00000000-0005-0000-0000-0000632E0000}"/>
    <cellStyle name="Note 2 4 2" xfId="11903" xr:uid="{00000000-0005-0000-0000-0000642E0000}"/>
    <cellStyle name="Note 2 4 2 2" xfId="11904" xr:uid="{00000000-0005-0000-0000-0000652E0000}"/>
    <cellStyle name="Note 2 4 3" xfId="11905" xr:uid="{00000000-0005-0000-0000-0000662E0000}"/>
    <cellStyle name="Note 2 4 4" xfId="11906" xr:uid="{00000000-0005-0000-0000-0000672E0000}"/>
    <cellStyle name="Note 2 5" xfId="11907" xr:uid="{00000000-0005-0000-0000-0000682E0000}"/>
    <cellStyle name="Note 2 5 2" xfId="11908" xr:uid="{00000000-0005-0000-0000-0000692E0000}"/>
    <cellStyle name="Note 2 5 2 2" xfId="11909" xr:uid="{00000000-0005-0000-0000-00006A2E0000}"/>
    <cellStyle name="Note 2 5 3" xfId="11910" xr:uid="{00000000-0005-0000-0000-00006B2E0000}"/>
    <cellStyle name="Note 2 6" xfId="11911" xr:uid="{00000000-0005-0000-0000-00006C2E0000}"/>
    <cellStyle name="Note 2 7" xfId="11912" xr:uid="{00000000-0005-0000-0000-00006D2E0000}"/>
    <cellStyle name="Note 3" xfId="211" xr:uid="{00000000-0005-0000-0000-00006E2E0000}"/>
    <cellStyle name="Note 3 2" xfId="11913" xr:uid="{00000000-0005-0000-0000-00006F2E0000}"/>
    <cellStyle name="Note 3 2 2" xfId="11914" xr:uid="{00000000-0005-0000-0000-0000702E0000}"/>
    <cellStyle name="Note 3 2 2 2" xfId="11915" xr:uid="{00000000-0005-0000-0000-0000712E0000}"/>
    <cellStyle name="Note 3 2 3" xfId="11916" xr:uid="{00000000-0005-0000-0000-0000722E0000}"/>
    <cellStyle name="Note 3 3" xfId="11917" xr:uid="{00000000-0005-0000-0000-0000732E0000}"/>
    <cellStyle name="Note 3 3 2" xfId="11918" xr:uid="{00000000-0005-0000-0000-0000742E0000}"/>
    <cellStyle name="Note 3 4" xfId="11919" xr:uid="{00000000-0005-0000-0000-0000752E0000}"/>
    <cellStyle name="Note 4" xfId="11920" xr:uid="{00000000-0005-0000-0000-0000762E0000}"/>
    <cellStyle name="Note 4 2" xfId="11921" xr:uid="{00000000-0005-0000-0000-0000772E0000}"/>
    <cellStyle name="Note 4 3" xfId="11922" xr:uid="{00000000-0005-0000-0000-0000782E0000}"/>
    <cellStyle name="nplode" xfId="11923" xr:uid="{00000000-0005-0000-0000-0000792E0000}"/>
    <cellStyle name="nploderow" xfId="11924" xr:uid="{00000000-0005-0000-0000-00007A2E0000}"/>
    <cellStyle name="NPPESalesPct" xfId="11925" xr:uid="{00000000-0005-0000-0000-00007B2E0000}"/>
    <cellStyle name="Num0Un" xfId="11926" xr:uid="{00000000-0005-0000-0000-00007C2E0000}"/>
    <cellStyle name="Num1" xfId="11927" xr:uid="{00000000-0005-0000-0000-00007D2E0000}"/>
    <cellStyle name="Num1Blue" xfId="11928" xr:uid="{00000000-0005-0000-0000-00007E2E0000}"/>
    <cellStyle name="Num2" xfId="11929" xr:uid="{00000000-0005-0000-0000-00007F2E0000}"/>
    <cellStyle name="Num2Un" xfId="11930" xr:uid="{00000000-0005-0000-0000-0000802E0000}"/>
    <cellStyle name="Number" xfId="11931" xr:uid="{00000000-0005-0000-0000-0000812E0000}"/>
    <cellStyle name="number1" xfId="11932" xr:uid="{00000000-0005-0000-0000-0000822E0000}"/>
    <cellStyle name="Numbers" xfId="11933" xr:uid="{00000000-0005-0000-0000-0000832E0000}"/>
    <cellStyle name="Numbers - Bold" xfId="11934" xr:uid="{00000000-0005-0000-0000-0000842E0000}"/>
    <cellStyle name="Numbers - Bold - Italic" xfId="11935" xr:uid="{00000000-0005-0000-0000-0000852E0000}"/>
    <cellStyle name="Numbers - Large" xfId="11936" xr:uid="{00000000-0005-0000-0000-0000862E0000}"/>
    <cellStyle name="Numbers - size 11" xfId="11937" xr:uid="{00000000-0005-0000-0000-0000872E0000}"/>
    <cellStyle name="Numbers_~7576084" xfId="11938" xr:uid="{00000000-0005-0000-0000-0000882E0000}"/>
    <cellStyle name="NWI%S" xfId="11939" xr:uid="{00000000-0005-0000-0000-0000892E0000}"/>
    <cellStyle name="onedec" xfId="11940" xr:uid="{00000000-0005-0000-0000-00008A2E0000}"/>
    <cellStyle name="Output 2" xfId="212" xr:uid="{00000000-0005-0000-0000-00008B2E0000}"/>
    <cellStyle name="Output 2 2" xfId="11941" xr:uid="{00000000-0005-0000-0000-00008C2E0000}"/>
    <cellStyle name="Output 2 3" xfId="11942" xr:uid="{00000000-0005-0000-0000-00008D2E0000}"/>
    <cellStyle name="Output 2 3 2" xfId="16803" xr:uid="{00000000-0005-0000-0000-00008E2E0000}"/>
    <cellStyle name="Output 3" xfId="11943" xr:uid="{00000000-0005-0000-0000-00008F2E0000}"/>
    <cellStyle name="Output 3 2" xfId="16804" xr:uid="{00000000-0005-0000-0000-0000902E0000}"/>
    <cellStyle name="Output 4" xfId="11944" xr:uid="{00000000-0005-0000-0000-0000912E0000}"/>
    <cellStyle name="Output 4 2" xfId="16805" xr:uid="{00000000-0005-0000-0000-0000922E0000}"/>
    <cellStyle name="Output Amounts" xfId="11945" xr:uid="{00000000-0005-0000-0000-0000932E0000}"/>
    <cellStyle name="Output Column Headings" xfId="11946" xr:uid="{00000000-0005-0000-0000-0000942E0000}"/>
    <cellStyle name="Output Line Items" xfId="11947" xr:uid="{00000000-0005-0000-0000-0000952E0000}"/>
    <cellStyle name="Output Report Heading" xfId="11948" xr:uid="{00000000-0005-0000-0000-0000962E0000}"/>
    <cellStyle name="Output Report Title" xfId="11949" xr:uid="{00000000-0005-0000-0000-0000972E0000}"/>
    <cellStyle name="Output1_Back" xfId="11950" xr:uid="{00000000-0005-0000-0000-0000982E0000}"/>
    <cellStyle name="Override" xfId="11951" xr:uid="{00000000-0005-0000-0000-0000992E0000}"/>
    <cellStyle name="P" xfId="11952" xr:uid="{00000000-0005-0000-0000-00009A2E0000}"/>
    <cellStyle name="P&amp;L Numbers" xfId="11953" xr:uid="{00000000-0005-0000-0000-00009B2E0000}"/>
    <cellStyle name="P_~7576084" xfId="11954" xr:uid="{00000000-0005-0000-0000-00009C2E0000}"/>
    <cellStyle name="p_1mod_5" xfId="11955" xr:uid="{00000000-0005-0000-0000-00009D2E0000}"/>
    <cellStyle name="p_2Mod11" xfId="11956" xr:uid="{00000000-0005-0000-0000-00009E2E0000}"/>
    <cellStyle name="p_2Mod11_Gassman Mods26" xfId="11957" xr:uid="{00000000-0005-0000-0000-00009F2E0000}"/>
    <cellStyle name="p_2Mod11_Model_1" xfId="11958" xr:uid="{00000000-0005-0000-0000-0000A02E0000}"/>
    <cellStyle name="p_2Mod11_Model_43.xls(New Model)" xfId="11959" xr:uid="{00000000-0005-0000-0000-0000A12E0000}"/>
    <cellStyle name="p_2Mod11_stupid_2" xfId="11960" xr:uid="{00000000-0005-0000-0000-0000A22E0000}"/>
    <cellStyle name="p_aavidmod11.xls Chart 1" xfId="11961" xr:uid="{00000000-0005-0000-0000-0000A32E0000}"/>
    <cellStyle name="p_aavidmod11.xls Chart 1_Gassman Mods26" xfId="11962" xr:uid="{00000000-0005-0000-0000-0000A42E0000}"/>
    <cellStyle name="p_aavidmod11.xls Chart 1_Model_1" xfId="11963" xr:uid="{00000000-0005-0000-0000-0000A52E0000}"/>
    <cellStyle name="p_aavidmod11.xls Chart 1_Model_43.xls(New Model)" xfId="11964" xr:uid="{00000000-0005-0000-0000-0000A62E0000}"/>
    <cellStyle name="p_aavidmod11.xls Chart 1_stupid_2" xfId="11965" xr:uid="{00000000-0005-0000-0000-0000A72E0000}"/>
    <cellStyle name="p_aavidmod11.xls Chart 2" xfId="11966" xr:uid="{00000000-0005-0000-0000-0000A82E0000}"/>
    <cellStyle name="p_aavidmod11.xls Chart 2_Gassman Mods26" xfId="11967" xr:uid="{00000000-0005-0000-0000-0000A92E0000}"/>
    <cellStyle name="p_aavidmod11.xls Chart 2_Model_1" xfId="11968" xr:uid="{00000000-0005-0000-0000-0000AA2E0000}"/>
    <cellStyle name="p_aavidmod11.xls Chart 2_Model_43.xls(New Model)" xfId="11969" xr:uid="{00000000-0005-0000-0000-0000AB2E0000}"/>
    <cellStyle name="p_aavidmod11.xls Chart 2_stupid_2" xfId="11970" xr:uid="{00000000-0005-0000-0000-0000AC2E0000}"/>
    <cellStyle name="p_Analysis at Various Share Prices" xfId="11971" xr:uid="{00000000-0005-0000-0000-0000AD2E0000}"/>
    <cellStyle name="p_charts for capm" xfId="11972" xr:uid="{00000000-0005-0000-0000-0000AE2E0000}"/>
    <cellStyle name="p_charts for capm_Jefferies" xfId="11973" xr:uid="{00000000-0005-0000-0000-0000AF2E0000}"/>
    <cellStyle name="p_charts for capm_Model02a" xfId="11974" xr:uid="{00000000-0005-0000-0000-0000B02E0000}"/>
    <cellStyle name="p_CIBC_Product_build_14" xfId="11975" xr:uid="{00000000-0005-0000-0000-0000B12E0000}"/>
    <cellStyle name="p_CIBC_Product_build_14_stupid_2" xfId="11976" xr:uid="{00000000-0005-0000-0000-0000B22E0000}"/>
    <cellStyle name="p_Comp Analysis Titan 11.11.05" xfId="11977" xr:uid="{00000000-0005-0000-0000-0000B32E0000}"/>
    <cellStyle name="p_COMPS" xfId="11978" xr:uid="{00000000-0005-0000-0000-0000B42E0000}"/>
    <cellStyle name="p_COMPS_Apax Banks Model2" xfId="11979" xr:uid="{00000000-0005-0000-0000-0000B52E0000}"/>
    <cellStyle name="p_COMPS_ESCOperatingModel Revised Base Case Banks 260101" xfId="11980" xr:uid="{00000000-0005-0000-0000-0000B62E0000}"/>
    <cellStyle name="p_COMPS_FINALGRA" xfId="11981" xr:uid="{00000000-0005-0000-0000-0000B72E0000}"/>
    <cellStyle name="p_COMPS_FINALGRA_Apax Banks Model2" xfId="11982" xr:uid="{00000000-0005-0000-0000-0000B82E0000}"/>
    <cellStyle name="p_COMPS_FINALGRA_ESCOperatingModel Revised Base Case Banks 260101" xfId="11983" xr:uid="{00000000-0005-0000-0000-0000B92E0000}"/>
    <cellStyle name="p_COMPS_FINALGRA_finalised and conformed model2" xfId="11984" xr:uid="{00000000-0005-0000-0000-0000BA2E0000}"/>
    <cellStyle name="p_COMPS_FINALGRA_finalised and conformed model2_1" xfId="11985" xr:uid="{00000000-0005-0000-0000-0000BB2E0000}"/>
    <cellStyle name="p_COMPS_FINALGRA_Gassman Mods26" xfId="11986" xr:uid="{00000000-0005-0000-0000-0000BC2E0000}"/>
    <cellStyle name="p_COMPS_FINALGRA_Italian model9" xfId="11987" xr:uid="{00000000-0005-0000-0000-0000BD2E0000}"/>
    <cellStyle name="p_COMPS_FINALGRA_LTM Analysis" xfId="11988" xr:uid="{00000000-0005-0000-0000-0000BE2E0000}"/>
    <cellStyle name="p_COMPS_FINALGRA_Model_1" xfId="11989" xr:uid="{00000000-0005-0000-0000-0000BF2E0000}"/>
    <cellStyle name="p_COMPS_FINALGRA_model11.xls Chart 1" xfId="11990" xr:uid="{00000000-0005-0000-0000-0000C02E0000}"/>
    <cellStyle name="p_COMPS_FINALGRA_model28" xfId="11991" xr:uid="{00000000-0005-0000-0000-0000C12E0000}"/>
    <cellStyle name="p_COMPS_FINALGRA_model5.xls Chart 1" xfId="11992" xr:uid="{00000000-0005-0000-0000-0000C22E0000}"/>
    <cellStyle name="p_COMPS_FINALGRA_model6.xls Chart 1" xfId="11993" xr:uid="{00000000-0005-0000-0000-0000C32E0000}"/>
    <cellStyle name="p_COMPS_FINALGRA_PwC (Version 10) Revised- CP site by site1" xfId="11994" xr:uid="{00000000-0005-0000-0000-0000C42E0000}"/>
    <cellStyle name="p_COMPS_FINALGRA_PwC (Version 10) Revised- CP site by site1_finalised and conformed model2" xfId="11995" xr:uid="{00000000-0005-0000-0000-0000C52E0000}"/>
    <cellStyle name="p_COMPS_FINALGRA_PwC (Version 10) Revised- CP site by site1_Gassman Mods26" xfId="11996" xr:uid="{00000000-0005-0000-0000-0000C62E0000}"/>
    <cellStyle name="p_COMPS_FINALGRA_PwC (Version 10) Revised- CP site by site1_Italian model9" xfId="11997" xr:uid="{00000000-0005-0000-0000-0000C72E0000}"/>
    <cellStyle name="p_COMPS_FINALGRA_PwC (Version 10) Revised- CP site by site1_LTM Analysis" xfId="11998" xr:uid="{00000000-0005-0000-0000-0000C82E0000}"/>
    <cellStyle name="p_COMPS_FINALGRA_PwC (Version 10) Revised- CP site by site1_Modefuckup" xfId="11999" xr:uid="{00000000-0005-0000-0000-0000C92E0000}"/>
    <cellStyle name="p_COMPS_FINALGRA_PwC (Version 10) Revised- CP site by site1_Model_1" xfId="12000" xr:uid="{00000000-0005-0000-0000-0000CA2E0000}"/>
    <cellStyle name="p_COMPS_FINALGRA_PwC (Version 10) Revised- CP site by site1_model28" xfId="12001" xr:uid="{00000000-0005-0000-0000-0000CB2E0000}"/>
    <cellStyle name="p_COMPS_FINALGRA_PwC (Version 10) Revised- CP site by site1_stupid_2" xfId="12002" xr:uid="{00000000-0005-0000-0000-0000CC2E0000}"/>
    <cellStyle name="p_COMPS_FINALGRA_splash mod 050700" xfId="12003" xr:uid="{00000000-0005-0000-0000-0000CD2E0000}"/>
    <cellStyle name="p_COMPS_FINALGRA_stupid_2" xfId="12004" xr:uid="{00000000-0005-0000-0000-0000CE2E0000}"/>
    <cellStyle name="p_COMPS_Gassman Mods26" xfId="12005" xr:uid="{00000000-0005-0000-0000-0000CF2E0000}"/>
    <cellStyle name="p_COMPS_Model_1" xfId="12006" xr:uid="{00000000-0005-0000-0000-0000D02E0000}"/>
    <cellStyle name="p_COMPS_model11.xls Chart 1" xfId="12007" xr:uid="{00000000-0005-0000-0000-0000D12E0000}"/>
    <cellStyle name="p_COMPS_Model3" xfId="12008" xr:uid="{00000000-0005-0000-0000-0000D22E0000}"/>
    <cellStyle name="p_COMPS_Model3_Gassman Mods26" xfId="12009" xr:uid="{00000000-0005-0000-0000-0000D32E0000}"/>
    <cellStyle name="p_COMPS_Model3_Model_1" xfId="12010" xr:uid="{00000000-0005-0000-0000-0000D42E0000}"/>
    <cellStyle name="p_COMPS_Model3_stupid_2" xfId="12011" xr:uid="{00000000-0005-0000-0000-0000D52E0000}"/>
    <cellStyle name="p_COMPS_model5.xls Chart 1" xfId="12012" xr:uid="{00000000-0005-0000-0000-0000D62E0000}"/>
    <cellStyle name="p_COMPS_model6.xls Chart 1" xfId="12013" xr:uid="{00000000-0005-0000-0000-0000D72E0000}"/>
    <cellStyle name="p_COMPS_MODEL8" xfId="12014" xr:uid="{00000000-0005-0000-0000-0000D82E0000}"/>
    <cellStyle name="p_COMPS_MODEL8_Apax Banks Model2" xfId="12015" xr:uid="{00000000-0005-0000-0000-0000D92E0000}"/>
    <cellStyle name="p_COMPS_MODEL8_ESCOperatingModel Revised Base Case Banks 260101" xfId="12016" xr:uid="{00000000-0005-0000-0000-0000DA2E0000}"/>
    <cellStyle name="p_COMPS_MODEL8_finalised and conformed model2" xfId="12017" xr:uid="{00000000-0005-0000-0000-0000DB2E0000}"/>
    <cellStyle name="p_COMPS_MODEL8_Gassman Mods26" xfId="12018" xr:uid="{00000000-0005-0000-0000-0000DC2E0000}"/>
    <cellStyle name="p_COMPS_MODEL8_Italian model9" xfId="12019" xr:uid="{00000000-0005-0000-0000-0000DD2E0000}"/>
    <cellStyle name="p_COMPS_MODEL8_LTM Analysis" xfId="12020" xr:uid="{00000000-0005-0000-0000-0000DE2E0000}"/>
    <cellStyle name="p_COMPS_MODEL8_Model_1" xfId="12021" xr:uid="{00000000-0005-0000-0000-0000DF2E0000}"/>
    <cellStyle name="p_COMPS_MODEL8_Model_9" xfId="12022" xr:uid="{00000000-0005-0000-0000-0000E02E0000}"/>
    <cellStyle name="p_COMPS_MODEL8_model11.xls Chart 1" xfId="12023" xr:uid="{00000000-0005-0000-0000-0000E12E0000}"/>
    <cellStyle name="p_COMPS_MODEL8_model28" xfId="12024" xr:uid="{00000000-0005-0000-0000-0000E22E0000}"/>
    <cellStyle name="p_COMPS_MODEL8_model5.xls Chart 1" xfId="12025" xr:uid="{00000000-0005-0000-0000-0000E32E0000}"/>
    <cellStyle name="p_COMPS_MODEL8_model6.xls Chart 1" xfId="12026" xr:uid="{00000000-0005-0000-0000-0000E42E0000}"/>
    <cellStyle name="p_COMPS_MODEL8_Newmodel12" xfId="12027" xr:uid="{00000000-0005-0000-0000-0000E52E0000}"/>
    <cellStyle name="p_COMPS_MODEL8_PwC (Version 10) Revised- CP site by site1" xfId="12028" xr:uid="{00000000-0005-0000-0000-0000E62E0000}"/>
    <cellStyle name="p_COMPS_MODEL8_PwC (Version 10) Revised- CP site by site1_finalised and conformed model2" xfId="12029" xr:uid="{00000000-0005-0000-0000-0000E72E0000}"/>
    <cellStyle name="p_COMPS_MODEL8_PwC (Version 10) Revised- CP site by site1_Gassman Mods26" xfId="12030" xr:uid="{00000000-0005-0000-0000-0000E82E0000}"/>
    <cellStyle name="p_COMPS_MODEL8_PwC (Version 10) Revised- CP site by site1_Italian model9" xfId="12031" xr:uid="{00000000-0005-0000-0000-0000E92E0000}"/>
    <cellStyle name="p_COMPS_MODEL8_PwC (Version 10) Revised- CP site by site1_LTM Analysis" xfId="12032" xr:uid="{00000000-0005-0000-0000-0000EA2E0000}"/>
    <cellStyle name="p_COMPS_MODEL8_PwC (Version 10) Revised- CP site by site1_Model_1" xfId="12033" xr:uid="{00000000-0005-0000-0000-0000EB2E0000}"/>
    <cellStyle name="p_COMPS_MODEL8_PwC (Version 10) Revised- CP site by site1_model28" xfId="12034" xr:uid="{00000000-0005-0000-0000-0000EC2E0000}"/>
    <cellStyle name="p_COMPS_MODEL8_PwC (Version 10) Revised- CP site by site1_stupid_2" xfId="12035" xr:uid="{00000000-0005-0000-0000-0000ED2E0000}"/>
    <cellStyle name="p_COMPS_MODEL8_splash mod 050700" xfId="12036" xr:uid="{00000000-0005-0000-0000-0000EE2E0000}"/>
    <cellStyle name="p_COMPS_MODEL8_stupid_2" xfId="12037" xr:uid="{00000000-0005-0000-0000-0000EF2E0000}"/>
    <cellStyle name="p_COMPS_PwC (Version 10) Revised- CP site by site1" xfId="12038" xr:uid="{00000000-0005-0000-0000-0000F02E0000}"/>
    <cellStyle name="p_COMPS_PwC (Version 10) Revised- CP site by site1_finalised and conformed model2" xfId="12039" xr:uid="{00000000-0005-0000-0000-0000F12E0000}"/>
    <cellStyle name="p_COMPS_PwC (Version 10) Revised- CP site by site1_finalised and conformed model2_1" xfId="12040" xr:uid="{00000000-0005-0000-0000-0000F22E0000}"/>
    <cellStyle name="p_COMPS_PwC (Version 10) Revised- CP site by site1_Gassman Mods26" xfId="12041" xr:uid="{00000000-0005-0000-0000-0000F32E0000}"/>
    <cellStyle name="p_COMPS_PwC (Version 10) Revised- CP site by site1_Italian model9" xfId="12042" xr:uid="{00000000-0005-0000-0000-0000F42E0000}"/>
    <cellStyle name="p_COMPS_PwC (Version 10) Revised- CP site by site1_LTM Analysis" xfId="12043" xr:uid="{00000000-0005-0000-0000-0000F52E0000}"/>
    <cellStyle name="p_COMPS_PwC (Version 10) Revised- CP site by site1_Model_1" xfId="12044" xr:uid="{00000000-0005-0000-0000-0000F62E0000}"/>
    <cellStyle name="p_COMPS_PwC (Version 10) Revised- CP site by site1_model28" xfId="12045" xr:uid="{00000000-0005-0000-0000-0000F72E0000}"/>
    <cellStyle name="p_COMPS_PwC (Version 10) Revised- CP site by site1_stupid_2" xfId="12046" xr:uid="{00000000-0005-0000-0000-0000F82E0000}"/>
    <cellStyle name="p_COMPS_PwC (Version 7) Revised- CP site by site" xfId="12047" xr:uid="{00000000-0005-0000-0000-0000F92E0000}"/>
    <cellStyle name="p_COMPS_splash mod 050700" xfId="12048" xr:uid="{00000000-0005-0000-0000-0000FA2E0000}"/>
    <cellStyle name="p_COMPS_stupid_2" xfId="12049" xr:uid="{00000000-0005-0000-0000-0000FB2E0000}"/>
    <cellStyle name="p_COMPS_tables2" xfId="12050" xr:uid="{00000000-0005-0000-0000-0000FC2E0000}"/>
    <cellStyle name="p_COMPS_tables2_Apax Banks Model2" xfId="12051" xr:uid="{00000000-0005-0000-0000-0000FD2E0000}"/>
    <cellStyle name="p_COMPS_tables2_ESCOperatingModel Revised Base Case Banks 260101" xfId="12052" xr:uid="{00000000-0005-0000-0000-0000FE2E0000}"/>
    <cellStyle name="p_COMPS_tables2_finalised and conformed model2" xfId="12053" xr:uid="{00000000-0005-0000-0000-0000FF2E0000}"/>
    <cellStyle name="p_COMPS_tables2_finalised and conformed model2_1" xfId="12054" xr:uid="{00000000-0005-0000-0000-0000002F0000}"/>
    <cellStyle name="p_COMPS_tables2_Gassman Mods26" xfId="12055" xr:uid="{00000000-0005-0000-0000-0000012F0000}"/>
    <cellStyle name="p_COMPS_tables2_Italian model9" xfId="12056" xr:uid="{00000000-0005-0000-0000-0000022F0000}"/>
    <cellStyle name="p_COMPS_tables2_LTM Analysis" xfId="12057" xr:uid="{00000000-0005-0000-0000-0000032F0000}"/>
    <cellStyle name="p_COMPS_tables2_Model_1" xfId="12058" xr:uid="{00000000-0005-0000-0000-0000042F0000}"/>
    <cellStyle name="p_COMPS_tables2_model11.xls Chart 1" xfId="12059" xr:uid="{00000000-0005-0000-0000-0000052F0000}"/>
    <cellStyle name="p_COMPS_tables2_model28" xfId="12060" xr:uid="{00000000-0005-0000-0000-0000062F0000}"/>
    <cellStyle name="p_COMPS_tables2_model5.xls Chart 1" xfId="12061" xr:uid="{00000000-0005-0000-0000-0000072F0000}"/>
    <cellStyle name="p_COMPS_tables2_model6.xls Chart 1" xfId="12062" xr:uid="{00000000-0005-0000-0000-0000082F0000}"/>
    <cellStyle name="p_COMPS_tables2_PwC (Version 10) Revised- CP site by site1" xfId="12063" xr:uid="{00000000-0005-0000-0000-0000092F0000}"/>
    <cellStyle name="p_COMPS_tables2_PwC (Version 10) Revised- CP site by site1_finalised and conformed model2" xfId="12064" xr:uid="{00000000-0005-0000-0000-00000A2F0000}"/>
    <cellStyle name="p_COMPS_tables2_PwC (Version 10) Revised- CP site by site1_Gassman Mods26" xfId="12065" xr:uid="{00000000-0005-0000-0000-00000B2F0000}"/>
    <cellStyle name="p_COMPS_tables2_PwC (Version 10) Revised- CP site by site1_Italian model9" xfId="12066" xr:uid="{00000000-0005-0000-0000-00000C2F0000}"/>
    <cellStyle name="p_COMPS_tables2_PwC (Version 10) Revised- CP site by site1_LTM Analysis" xfId="12067" xr:uid="{00000000-0005-0000-0000-00000D2F0000}"/>
    <cellStyle name="p_COMPS_tables2_PwC (Version 10) Revised- CP site by site1_Modefuckup" xfId="12068" xr:uid="{00000000-0005-0000-0000-00000E2F0000}"/>
    <cellStyle name="p_COMPS_tables2_PwC (Version 10) Revised- CP site by site1_Model_1" xfId="12069" xr:uid="{00000000-0005-0000-0000-00000F2F0000}"/>
    <cellStyle name="p_COMPS_tables2_PwC (Version 10) Revised- CP site by site1_model28" xfId="12070" xr:uid="{00000000-0005-0000-0000-0000102F0000}"/>
    <cellStyle name="p_COMPS_tables2_PwC (Version 10) Revised- CP site by site1_stupid_2" xfId="12071" xr:uid="{00000000-0005-0000-0000-0000112F0000}"/>
    <cellStyle name="p_COMPS_tables2_splash mod 050700" xfId="12072" xr:uid="{00000000-0005-0000-0000-0000122F0000}"/>
    <cellStyle name="p_COMPS_tables2_stupid_2" xfId="12073" xr:uid="{00000000-0005-0000-0000-0000132F0000}"/>
    <cellStyle name="p_comps11" xfId="12074" xr:uid="{00000000-0005-0000-0000-0000142F0000}"/>
    <cellStyle name="p_compsupdate11" xfId="12075" xr:uid="{00000000-0005-0000-0000-0000152F0000}"/>
    <cellStyle name="p_DCF" xfId="12076" xr:uid="{00000000-0005-0000-0000-0000162F0000}"/>
    <cellStyle name="p_DCF_~7576084" xfId="12077" xr:uid="{00000000-0005-0000-0000-0000172F0000}"/>
    <cellStyle name="p_DCF_1mod_5" xfId="12078" xr:uid="{00000000-0005-0000-0000-0000182F0000}"/>
    <cellStyle name="p_DCF_2Mod11" xfId="12079" xr:uid="{00000000-0005-0000-0000-0000192F0000}"/>
    <cellStyle name="p_DCF_2Mod11_Gassman Mods26" xfId="12080" xr:uid="{00000000-0005-0000-0000-00001A2F0000}"/>
    <cellStyle name="p_DCF_2Mod11_Model_1" xfId="12081" xr:uid="{00000000-0005-0000-0000-00001B2F0000}"/>
    <cellStyle name="p_DCF_2Mod11_Model_43.xls(New Model)" xfId="12082" xr:uid="{00000000-0005-0000-0000-00001C2F0000}"/>
    <cellStyle name="p_DCF_2Mod11_stupid_2" xfId="12083" xr:uid="{00000000-0005-0000-0000-00001D2F0000}"/>
    <cellStyle name="p_DCF_aavidmod11.xls Chart 1" xfId="12084" xr:uid="{00000000-0005-0000-0000-00001E2F0000}"/>
    <cellStyle name="p_DCF_aavidmod11.xls Chart 1_Gassman Mods26" xfId="12085" xr:uid="{00000000-0005-0000-0000-00001F2F0000}"/>
    <cellStyle name="p_DCF_aavidmod11.xls Chart 1_Model_1" xfId="12086" xr:uid="{00000000-0005-0000-0000-0000202F0000}"/>
    <cellStyle name="p_DCF_aavidmod11.xls Chart 1_Model_43.xls(New Model)" xfId="12087" xr:uid="{00000000-0005-0000-0000-0000212F0000}"/>
    <cellStyle name="p_DCF_aavidmod11.xls Chart 1_stupid_2" xfId="12088" xr:uid="{00000000-0005-0000-0000-0000222F0000}"/>
    <cellStyle name="p_DCF_aavidmod11.xls Chart 2" xfId="12089" xr:uid="{00000000-0005-0000-0000-0000232F0000}"/>
    <cellStyle name="p_DCF_aavidmod11.xls Chart 2_Gassman Mods26" xfId="12090" xr:uid="{00000000-0005-0000-0000-0000242F0000}"/>
    <cellStyle name="p_DCF_aavidmod11.xls Chart 2_Model_1" xfId="12091" xr:uid="{00000000-0005-0000-0000-0000252F0000}"/>
    <cellStyle name="p_DCF_aavidmod11.xls Chart 2_Model_43.xls(New Model)" xfId="12092" xr:uid="{00000000-0005-0000-0000-0000262F0000}"/>
    <cellStyle name="p_DCF_aavidmod11.xls Chart 2_stupid_2" xfId="12093" xr:uid="{00000000-0005-0000-0000-0000272F0000}"/>
    <cellStyle name="p_DCF_charts for capm" xfId="12094" xr:uid="{00000000-0005-0000-0000-0000282F0000}"/>
    <cellStyle name="p_DCF_charts for capm_Jefferies" xfId="12095" xr:uid="{00000000-0005-0000-0000-0000292F0000}"/>
    <cellStyle name="p_DCF_charts for capm_Model02a" xfId="12096" xr:uid="{00000000-0005-0000-0000-00002A2F0000}"/>
    <cellStyle name="p_DCF_CIBC_Product_build_14" xfId="12097" xr:uid="{00000000-0005-0000-0000-00002B2F0000}"/>
    <cellStyle name="p_DCF_CIBC_Product_build_14_stupid_2" xfId="12098" xr:uid="{00000000-0005-0000-0000-00002C2F0000}"/>
    <cellStyle name="p_DCF_COMPS" xfId="12099" xr:uid="{00000000-0005-0000-0000-00002D2F0000}"/>
    <cellStyle name="p_DCF_COMPS_Apax Banks Model2" xfId="12100" xr:uid="{00000000-0005-0000-0000-00002E2F0000}"/>
    <cellStyle name="p_DCF_COMPS_ESCOperatingModel Revised Base Case Banks 260101" xfId="12101" xr:uid="{00000000-0005-0000-0000-00002F2F0000}"/>
    <cellStyle name="p_DCF_COMPS_FINALGRA" xfId="12102" xr:uid="{00000000-0005-0000-0000-0000302F0000}"/>
    <cellStyle name="p_DCF_COMPS_FINALGRA_Apax Banks Model2" xfId="12103" xr:uid="{00000000-0005-0000-0000-0000312F0000}"/>
    <cellStyle name="p_DCF_COMPS_FINALGRA_ESCOperatingModel Revised Base Case Banks 260101" xfId="12104" xr:uid="{00000000-0005-0000-0000-0000322F0000}"/>
    <cellStyle name="p_DCF_COMPS_FINALGRA_finalised and conformed model2" xfId="12105" xr:uid="{00000000-0005-0000-0000-0000332F0000}"/>
    <cellStyle name="p_DCF_COMPS_FINALGRA_finalised and conformed model2_1" xfId="12106" xr:uid="{00000000-0005-0000-0000-0000342F0000}"/>
    <cellStyle name="p_DCF_COMPS_FINALGRA_Gassman Mods26" xfId="12107" xr:uid="{00000000-0005-0000-0000-0000352F0000}"/>
    <cellStyle name="p_DCF_COMPS_FINALGRA_Italian model9" xfId="12108" xr:uid="{00000000-0005-0000-0000-0000362F0000}"/>
    <cellStyle name="p_DCF_COMPS_FINALGRA_LTM Analysis" xfId="12109" xr:uid="{00000000-0005-0000-0000-0000372F0000}"/>
    <cellStyle name="p_DCF_COMPS_FINALGRA_Model_1" xfId="12110" xr:uid="{00000000-0005-0000-0000-0000382F0000}"/>
    <cellStyle name="p_DCF_COMPS_FINALGRA_model11.xls Chart 1" xfId="12111" xr:uid="{00000000-0005-0000-0000-0000392F0000}"/>
    <cellStyle name="p_DCF_COMPS_FINALGRA_model28" xfId="12112" xr:uid="{00000000-0005-0000-0000-00003A2F0000}"/>
    <cellStyle name="p_DCF_COMPS_FINALGRA_model5.xls Chart 1" xfId="12113" xr:uid="{00000000-0005-0000-0000-00003B2F0000}"/>
    <cellStyle name="p_DCF_COMPS_FINALGRA_model6.xls Chart 1" xfId="12114" xr:uid="{00000000-0005-0000-0000-00003C2F0000}"/>
    <cellStyle name="p_DCF_COMPS_FINALGRA_PwC (Version 10) Revised- CP site by site1" xfId="12115" xr:uid="{00000000-0005-0000-0000-00003D2F0000}"/>
    <cellStyle name="p_DCF_COMPS_FINALGRA_PwC (Version 10) Revised- CP site by site1_finalised and conformed model2" xfId="12116" xr:uid="{00000000-0005-0000-0000-00003E2F0000}"/>
    <cellStyle name="p_DCF_COMPS_FINALGRA_PwC (Version 10) Revised- CP site by site1_Gassman Mods26" xfId="12117" xr:uid="{00000000-0005-0000-0000-00003F2F0000}"/>
    <cellStyle name="p_DCF_COMPS_FINALGRA_PwC (Version 10) Revised- CP site by site1_Italian model9" xfId="12118" xr:uid="{00000000-0005-0000-0000-0000402F0000}"/>
    <cellStyle name="p_DCF_COMPS_FINALGRA_PwC (Version 10) Revised- CP site by site1_LTM Analysis" xfId="12119" xr:uid="{00000000-0005-0000-0000-0000412F0000}"/>
    <cellStyle name="p_DCF_COMPS_FINALGRA_PwC (Version 10) Revised- CP site by site1_Modefuckup" xfId="12120" xr:uid="{00000000-0005-0000-0000-0000422F0000}"/>
    <cellStyle name="p_DCF_COMPS_FINALGRA_PwC (Version 10) Revised- CP site by site1_Model_1" xfId="12121" xr:uid="{00000000-0005-0000-0000-0000432F0000}"/>
    <cellStyle name="p_DCF_COMPS_FINALGRA_PwC (Version 10) Revised- CP site by site1_model28" xfId="12122" xr:uid="{00000000-0005-0000-0000-0000442F0000}"/>
    <cellStyle name="p_DCF_COMPS_FINALGRA_PwC (Version 10) Revised- CP site by site1_stupid_2" xfId="12123" xr:uid="{00000000-0005-0000-0000-0000452F0000}"/>
    <cellStyle name="p_DCF_COMPS_FINALGRA_splash mod 050700" xfId="12124" xr:uid="{00000000-0005-0000-0000-0000462F0000}"/>
    <cellStyle name="p_DCF_COMPS_FINALGRA_stupid_2" xfId="12125" xr:uid="{00000000-0005-0000-0000-0000472F0000}"/>
    <cellStyle name="p_DCF_COMPS_Gassman Mods26" xfId="12126" xr:uid="{00000000-0005-0000-0000-0000482F0000}"/>
    <cellStyle name="p_DCF_COMPS_Model_1" xfId="12127" xr:uid="{00000000-0005-0000-0000-0000492F0000}"/>
    <cellStyle name="p_DCF_COMPS_model11.xls Chart 1" xfId="12128" xr:uid="{00000000-0005-0000-0000-00004A2F0000}"/>
    <cellStyle name="p_DCF_COMPS_Model3" xfId="12129" xr:uid="{00000000-0005-0000-0000-00004B2F0000}"/>
    <cellStyle name="p_DCF_COMPS_Model3_Gassman Mods26" xfId="12130" xr:uid="{00000000-0005-0000-0000-00004C2F0000}"/>
    <cellStyle name="p_DCF_COMPS_Model3_Model_1" xfId="12131" xr:uid="{00000000-0005-0000-0000-00004D2F0000}"/>
    <cellStyle name="p_DCF_COMPS_Model3_stupid_2" xfId="12132" xr:uid="{00000000-0005-0000-0000-00004E2F0000}"/>
    <cellStyle name="p_DCF_COMPS_model5.xls Chart 1" xfId="12133" xr:uid="{00000000-0005-0000-0000-00004F2F0000}"/>
    <cellStyle name="p_DCF_COMPS_model6.xls Chart 1" xfId="12134" xr:uid="{00000000-0005-0000-0000-0000502F0000}"/>
    <cellStyle name="p_DCF_COMPS_MODEL8" xfId="12135" xr:uid="{00000000-0005-0000-0000-0000512F0000}"/>
    <cellStyle name="p_DCF_COMPS_MODEL8_Apax Banks Model2" xfId="12136" xr:uid="{00000000-0005-0000-0000-0000522F0000}"/>
    <cellStyle name="p_DCF_COMPS_MODEL8_ESCOperatingModel Revised Base Case Banks 260101" xfId="12137" xr:uid="{00000000-0005-0000-0000-0000532F0000}"/>
    <cellStyle name="p_DCF_COMPS_MODEL8_finalised and conformed model2" xfId="12138" xr:uid="{00000000-0005-0000-0000-0000542F0000}"/>
    <cellStyle name="p_DCF_COMPS_MODEL8_Gassman Mods26" xfId="12139" xr:uid="{00000000-0005-0000-0000-0000552F0000}"/>
    <cellStyle name="p_DCF_COMPS_MODEL8_Italian model9" xfId="12140" xr:uid="{00000000-0005-0000-0000-0000562F0000}"/>
    <cellStyle name="p_DCF_COMPS_MODEL8_LTM Analysis" xfId="12141" xr:uid="{00000000-0005-0000-0000-0000572F0000}"/>
    <cellStyle name="p_DCF_COMPS_MODEL8_Model_1" xfId="12142" xr:uid="{00000000-0005-0000-0000-0000582F0000}"/>
    <cellStyle name="p_DCF_COMPS_MODEL8_Model_9" xfId="12143" xr:uid="{00000000-0005-0000-0000-0000592F0000}"/>
    <cellStyle name="p_DCF_COMPS_MODEL8_model11.xls Chart 1" xfId="12144" xr:uid="{00000000-0005-0000-0000-00005A2F0000}"/>
    <cellStyle name="p_DCF_COMPS_MODEL8_model28" xfId="12145" xr:uid="{00000000-0005-0000-0000-00005B2F0000}"/>
    <cellStyle name="p_DCF_COMPS_MODEL8_model5.xls Chart 1" xfId="12146" xr:uid="{00000000-0005-0000-0000-00005C2F0000}"/>
    <cellStyle name="p_DCF_COMPS_MODEL8_model6.xls Chart 1" xfId="12147" xr:uid="{00000000-0005-0000-0000-00005D2F0000}"/>
    <cellStyle name="p_DCF_COMPS_MODEL8_Newmodel12" xfId="12148" xr:uid="{00000000-0005-0000-0000-00005E2F0000}"/>
    <cellStyle name="p_DCF_COMPS_MODEL8_PwC (Version 10) Revised- CP site by site1" xfId="12149" xr:uid="{00000000-0005-0000-0000-00005F2F0000}"/>
    <cellStyle name="p_DCF_COMPS_MODEL8_PwC (Version 10) Revised- CP site by site1_finalised and conformed model2" xfId="12150" xr:uid="{00000000-0005-0000-0000-0000602F0000}"/>
    <cellStyle name="p_DCF_COMPS_MODEL8_PwC (Version 10) Revised- CP site by site1_Gassman Mods26" xfId="12151" xr:uid="{00000000-0005-0000-0000-0000612F0000}"/>
    <cellStyle name="p_DCF_COMPS_MODEL8_PwC (Version 10) Revised- CP site by site1_Italian model9" xfId="12152" xr:uid="{00000000-0005-0000-0000-0000622F0000}"/>
    <cellStyle name="p_DCF_COMPS_MODEL8_PwC (Version 10) Revised- CP site by site1_LTM Analysis" xfId="12153" xr:uid="{00000000-0005-0000-0000-0000632F0000}"/>
    <cellStyle name="p_DCF_COMPS_MODEL8_PwC (Version 10) Revised- CP site by site1_Model_1" xfId="12154" xr:uid="{00000000-0005-0000-0000-0000642F0000}"/>
    <cellStyle name="p_DCF_COMPS_MODEL8_PwC (Version 10) Revised- CP site by site1_model28" xfId="12155" xr:uid="{00000000-0005-0000-0000-0000652F0000}"/>
    <cellStyle name="p_DCF_COMPS_MODEL8_PwC (Version 10) Revised- CP site by site1_stupid_2" xfId="12156" xr:uid="{00000000-0005-0000-0000-0000662F0000}"/>
    <cellStyle name="p_DCF_COMPS_MODEL8_splash mod 050700" xfId="12157" xr:uid="{00000000-0005-0000-0000-0000672F0000}"/>
    <cellStyle name="p_DCF_COMPS_MODEL8_stupid_2" xfId="12158" xr:uid="{00000000-0005-0000-0000-0000682F0000}"/>
    <cellStyle name="p_DCF_COMPS_PwC (Version 10) Revised- CP site by site1" xfId="12159" xr:uid="{00000000-0005-0000-0000-0000692F0000}"/>
    <cellStyle name="p_DCF_COMPS_PwC (Version 10) Revised- CP site by site1_finalised and conformed model2" xfId="12160" xr:uid="{00000000-0005-0000-0000-00006A2F0000}"/>
    <cellStyle name="p_DCF_COMPS_PwC (Version 10) Revised- CP site by site1_finalised and conformed model2_1" xfId="12161" xr:uid="{00000000-0005-0000-0000-00006B2F0000}"/>
    <cellStyle name="p_DCF_COMPS_PwC (Version 10) Revised- CP site by site1_Gassman Mods26" xfId="12162" xr:uid="{00000000-0005-0000-0000-00006C2F0000}"/>
    <cellStyle name="p_DCF_COMPS_PwC (Version 10) Revised- CP site by site1_Italian model9" xfId="12163" xr:uid="{00000000-0005-0000-0000-00006D2F0000}"/>
    <cellStyle name="p_DCF_COMPS_PwC (Version 10) Revised- CP site by site1_LTM Analysis" xfId="12164" xr:uid="{00000000-0005-0000-0000-00006E2F0000}"/>
    <cellStyle name="p_DCF_COMPS_PwC (Version 10) Revised- CP site by site1_Model_1" xfId="12165" xr:uid="{00000000-0005-0000-0000-00006F2F0000}"/>
    <cellStyle name="p_DCF_COMPS_PwC (Version 10) Revised- CP site by site1_model28" xfId="12166" xr:uid="{00000000-0005-0000-0000-0000702F0000}"/>
    <cellStyle name="p_DCF_COMPS_PwC (Version 10) Revised- CP site by site1_stupid_2" xfId="12167" xr:uid="{00000000-0005-0000-0000-0000712F0000}"/>
    <cellStyle name="p_DCF_COMPS_PwC (Version 7) Revised- CP site by site" xfId="12168" xr:uid="{00000000-0005-0000-0000-0000722F0000}"/>
    <cellStyle name="p_DCF_COMPS_splash mod 050700" xfId="12169" xr:uid="{00000000-0005-0000-0000-0000732F0000}"/>
    <cellStyle name="p_DCF_COMPS_stupid_2" xfId="12170" xr:uid="{00000000-0005-0000-0000-0000742F0000}"/>
    <cellStyle name="p_DCF_COMPS_tables2" xfId="12171" xr:uid="{00000000-0005-0000-0000-0000752F0000}"/>
    <cellStyle name="p_DCF_COMPS_tables2_Apax Banks Model2" xfId="12172" xr:uid="{00000000-0005-0000-0000-0000762F0000}"/>
    <cellStyle name="p_DCF_COMPS_tables2_ESCOperatingModel Revised Base Case Banks 260101" xfId="12173" xr:uid="{00000000-0005-0000-0000-0000772F0000}"/>
    <cellStyle name="p_DCF_COMPS_tables2_finalised and conformed model2" xfId="12174" xr:uid="{00000000-0005-0000-0000-0000782F0000}"/>
    <cellStyle name="p_DCF_COMPS_tables2_finalised and conformed model2_1" xfId="12175" xr:uid="{00000000-0005-0000-0000-0000792F0000}"/>
    <cellStyle name="p_DCF_COMPS_tables2_Gassman Mods26" xfId="12176" xr:uid="{00000000-0005-0000-0000-00007A2F0000}"/>
    <cellStyle name="p_DCF_COMPS_tables2_Italian model9" xfId="12177" xr:uid="{00000000-0005-0000-0000-00007B2F0000}"/>
    <cellStyle name="p_DCF_COMPS_tables2_LTM Analysis" xfId="12178" xr:uid="{00000000-0005-0000-0000-00007C2F0000}"/>
    <cellStyle name="p_DCF_COMPS_tables2_Model_1" xfId="12179" xr:uid="{00000000-0005-0000-0000-00007D2F0000}"/>
    <cellStyle name="p_DCF_COMPS_tables2_model11.xls Chart 1" xfId="12180" xr:uid="{00000000-0005-0000-0000-00007E2F0000}"/>
    <cellStyle name="p_DCF_COMPS_tables2_model28" xfId="12181" xr:uid="{00000000-0005-0000-0000-00007F2F0000}"/>
    <cellStyle name="p_DCF_COMPS_tables2_model5.xls Chart 1" xfId="12182" xr:uid="{00000000-0005-0000-0000-0000802F0000}"/>
    <cellStyle name="p_DCF_COMPS_tables2_model6.xls Chart 1" xfId="12183" xr:uid="{00000000-0005-0000-0000-0000812F0000}"/>
    <cellStyle name="p_DCF_COMPS_tables2_PwC (Version 10) Revised- CP site by site1" xfId="12184" xr:uid="{00000000-0005-0000-0000-0000822F0000}"/>
    <cellStyle name="p_DCF_COMPS_tables2_PwC (Version 10) Revised- CP site by site1_finalised and conformed model2" xfId="12185" xr:uid="{00000000-0005-0000-0000-0000832F0000}"/>
    <cellStyle name="p_DCF_COMPS_tables2_PwC (Version 10) Revised- CP site by site1_Gassman Mods26" xfId="12186" xr:uid="{00000000-0005-0000-0000-0000842F0000}"/>
    <cellStyle name="p_DCF_COMPS_tables2_PwC (Version 10) Revised- CP site by site1_Italian model9" xfId="12187" xr:uid="{00000000-0005-0000-0000-0000852F0000}"/>
    <cellStyle name="p_DCF_COMPS_tables2_PwC (Version 10) Revised- CP site by site1_LTM Analysis" xfId="12188" xr:uid="{00000000-0005-0000-0000-0000862F0000}"/>
    <cellStyle name="p_DCF_COMPS_tables2_PwC (Version 10) Revised- CP site by site1_Modefuckup" xfId="12189" xr:uid="{00000000-0005-0000-0000-0000872F0000}"/>
    <cellStyle name="p_DCF_COMPS_tables2_PwC (Version 10) Revised- CP site by site1_Model_1" xfId="12190" xr:uid="{00000000-0005-0000-0000-0000882F0000}"/>
    <cellStyle name="p_DCF_COMPS_tables2_PwC (Version 10) Revised- CP site by site1_model28" xfId="12191" xr:uid="{00000000-0005-0000-0000-0000892F0000}"/>
    <cellStyle name="p_DCF_COMPS_tables2_PwC (Version 10) Revised- CP site by site1_stupid_2" xfId="12192" xr:uid="{00000000-0005-0000-0000-00008A2F0000}"/>
    <cellStyle name="p_DCF_COMPS_tables2_splash mod 050700" xfId="12193" xr:uid="{00000000-0005-0000-0000-00008B2F0000}"/>
    <cellStyle name="p_DCF_COMPS_tables2_stupid_2" xfId="12194" xr:uid="{00000000-0005-0000-0000-00008C2F0000}"/>
    <cellStyle name="p_DCF_comps11" xfId="12195" xr:uid="{00000000-0005-0000-0000-00008D2F0000}"/>
    <cellStyle name="p_DCF_compsupdate11" xfId="12196" xr:uid="{00000000-0005-0000-0000-00008E2F0000}"/>
    <cellStyle name="p_DCF_DCF5" xfId="12197" xr:uid="{00000000-0005-0000-0000-00008F2F0000}"/>
    <cellStyle name="p_DCF_DCF5_Model02a" xfId="12198" xr:uid="{00000000-0005-0000-0000-0000902F0000}"/>
    <cellStyle name="p_DCF_Debt_comps" xfId="12199" xr:uid="{00000000-0005-0000-0000-0000912F0000}"/>
    <cellStyle name="p_DCF_Debt_comps_comps9" xfId="12200" xr:uid="{00000000-0005-0000-0000-0000922F0000}"/>
    <cellStyle name="p_DCF_EQCOMP5" xfId="12201" xr:uid="{00000000-0005-0000-0000-0000932F0000}"/>
    <cellStyle name="p_DCF_EQCOMP5_Apax Banks Model2" xfId="12202" xr:uid="{00000000-0005-0000-0000-0000942F0000}"/>
    <cellStyle name="p_DCF_EQCOMP5_ESCOperatingModel Revised Base Case Banks 260101" xfId="12203" xr:uid="{00000000-0005-0000-0000-0000952F0000}"/>
    <cellStyle name="p_DCF_EQCOMP5_FINALGRA" xfId="12204" xr:uid="{00000000-0005-0000-0000-0000962F0000}"/>
    <cellStyle name="p_DCF_EQCOMP5_FINALGRA_Apax Banks Model2" xfId="12205" xr:uid="{00000000-0005-0000-0000-0000972F0000}"/>
    <cellStyle name="p_DCF_EQCOMP5_FINALGRA_ESCOperatingModel Revised Base Case Banks 260101" xfId="12206" xr:uid="{00000000-0005-0000-0000-0000982F0000}"/>
    <cellStyle name="p_DCF_EQCOMP5_FINALGRA_finalised and conformed model2" xfId="12207" xr:uid="{00000000-0005-0000-0000-0000992F0000}"/>
    <cellStyle name="p_DCF_EQCOMP5_FINALGRA_finalised and conformed model2_1" xfId="12208" xr:uid="{00000000-0005-0000-0000-00009A2F0000}"/>
    <cellStyle name="p_DCF_EQCOMP5_FINALGRA_Gassman Mods26" xfId="12209" xr:uid="{00000000-0005-0000-0000-00009B2F0000}"/>
    <cellStyle name="p_DCF_EQCOMP5_FINALGRA_Italian model9" xfId="12210" xr:uid="{00000000-0005-0000-0000-00009C2F0000}"/>
    <cellStyle name="p_DCF_EQCOMP5_FINALGRA_LTM Analysis" xfId="12211" xr:uid="{00000000-0005-0000-0000-00009D2F0000}"/>
    <cellStyle name="p_DCF_EQCOMP5_FINALGRA_Model_1" xfId="12212" xr:uid="{00000000-0005-0000-0000-00009E2F0000}"/>
    <cellStyle name="p_DCF_EQCOMP5_FINALGRA_model11.xls Chart 1" xfId="12213" xr:uid="{00000000-0005-0000-0000-00009F2F0000}"/>
    <cellStyle name="p_DCF_EQCOMP5_FINALGRA_model28" xfId="12214" xr:uid="{00000000-0005-0000-0000-0000A02F0000}"/>
    <cellStyle name="p_DCF_EQCOMP5_FINALGRA_model5.xls Chart 1" xfId="12215" xr:uid="{00000000-0005-0000-0000-0000A12F0000}"/>
    <cellStyle name="p_DCF_EQCOMP5_FINALGRA_model6.xls Chart 1" xfId="12216" xr:uid="{00000000-0005-0000-0000-0000A22F0000}"/>
    <cellStyle name="p_DCF_EQCOMP5_FINALGRA_PwC (Version 10) Revised- CP site by site1" xfId="12217" xr:uid="{00000000-0005-0000-0000-0000A32F0000}"/>
    <cellStyle name="p_DCF_EQCOMP5_FINALGRA_PwC (Version 10) Revised- CP site by site1_finalised and conformed model2" xfId="12218" xr:uid="{00000000-0005-0000-0000-0000A42F0000}"/>
    <cellStyle name="p_DCF_EQCOMP5_FINALGRA_PwC (Version 10) Revised- CP site by site1_Gassman Mods26" xfId="12219" xr:uid="{00000000-0005-0000-0000-0000A52F0000}"/>
    <cellStyle name="p_DCF_EQCOMP5_FINALGRA_PwC (Version 10) Revised- CP site by site1_Italian model9" xfId="12220" xr:uid="{00000000-0005-0000-0000-0000A62F0000}"/>
    <cellStyle name="p_DCF_EQCOMP5_FINALGRA_PwC (Version 10) Revised- CP site by site1_LTM Analysis" xfId="12221" xr:uid="{00000000-0005-0000-0000-0000A72F0000}"/>
    <cellStyle name="p_DCF_EQCOMP5_FINALGRA_PwC (Version 10) Revised- CP site by site1_Modefuckup" xfId="12222" xr:uid="{00000000-0005-0000-0000-0000A82F0000}"/>
    <cellStyle name="p_DCF_EQCOMP5_FINALGRA_PwC (Version 10) Revised- CP site by site1_Model_1" xfId="12223" xr:uid="{00000000-0005-0000-0000-0000A92F0000}"/>
    <cellStyle name="p_DCF_EQCOMP5_FINALGRA_PwC (Version 10) Revised- CP site by site1_model28" xfId="12224" xr:uid="{00000000-0005-0000-0000-0000AA2F0000}"/>
    <cellStyle name="p_DCF_EQCOMP5_FINALGRA_PwC (Version 10) Revised- CP site by site1_stupid_2" xfId="12225" xr:uid="{00000000-0005-0000-0000-0000AB2F0000}"/>
    <cellStyle name="p_DCF_EQCOMP5_FINALGRA_splash mod 050700" xfId="12226" xr:uid="{00000000-0005-0000-0000-0000AC2F0000}"/>
    <cellStyle name="p_DCF_EQCOMP5_FINALGRA_stupid_2" xfId="12227" xr:uid="{00000000-0005-0000-0000-0000AD2F0000}"/>
    <cellStyle name="p_DCF_EQCOMP5_Gassman Mods26" xfId="12228" xr:uid="{00000000-0005-0000-0000-0000AE2F0000}"/>
    <cellStyle name="p_DCF_EQCOMP5_Model_1" xfId="12229" xr:uid="{00000000-0005-0000-0000-0000AF2F0000}"/>
    <cellStyle name="p_DCF_EQCOMP5_model11.xls Chart 1" xfId="12230" xr:uid="{00000000-0005-0000-0000-0000B02F0000}"/>
    <cellStyle name="p_DCF_EQCOMP5_Model3" xfId="12231" xr:uid="{00000000-0005-0000-0000-0000B12F0000}"/>
    <cellStyle name="p_DCF_EQCOMP5_Model3_Gassman Mods26" xfId="12232" xr:uid="{00000000-0005-0000-0000-0000B22F0000}"/>
    <cellStyle name="p_DCF_EQCOMP5_Model3_Model_1" xfId="12233" xr:uid="{00000000-0005-0000-0000-0000B32F0000}"/>
    <cellStyle name="p_DCF_EQCOMP5_Model3_stupid_2" xfId="12234" xr:uid="{00000000-0005-0000-0000-0000B42F0000}"/>
    <cellStyle name="p_DCF_EQCOMP5_model5.xls Chart 1" xfId="12235" xr:uid="{00000000-0005-0000-0000-0000B52F0000}"/>
    <cellStyle name="p_DCF_EQCOMP5_model6.xls Chart 1" xfId="12236" xr:uid="{00000000-0005-0000-0000-0000B62F0000}"/>
    <cellStyle name="p_DCF_EQCOMP5_MODEL8" xfId="12237" xr:uid="{00000000-0005-0000-0000-0000B72F0000}"/>
    <cellStyle name="p_DCF_EQCOMP5_MODEL8_Apax Banks Model2" xfId="12238" xr:uid="{00000000-0005-0000-0000-0000B82F0000}"/>
    <cellStyle name="p_DCF_EQCOMP5_MODEL8_ESCOperatingModel Revised Base Case Banks 260101" xfId="12239" xr:uid="{00000000-0005-0000-0000-0000B92F0000}"/>
    <cellStyle name="p_DCF_EQCOMP5_MODEL8_finalised and conformed model2" xfId="12240" xr:uid="{00000000-0005-0000-0000-0000BA2F0000}"/>
    <cellStyle name="p_DCF_EQCOMP5_MODEL8_Gassman Mods26" xfId="12241" xr:uid="{00000000-0005-0000-0000-0000BB2F0000}"/>
    <cellStyle name="p_DCF_EQCOMP5_MODEL8_Italian model9" xfId="12242" xr:uid="{00000000-0005-0000-0000-0000BC2F0000}"/>
    <cellStyle name="p_DCF_EQCOMP5_MODEL8_LTM Analysis" xfId="12243" xr:uid="{00000000-0005-0000-0000-0000BD2F0000}"/>
    <cellStyle name="p_DCF_EQCOMP5_MODEL8_Model_1" xfId="12244" xr:uid="{00000000-0005-0000-0000-0000BE2F0000}"/>
    <cellStyle name="p_DCF_EQCOMP5_MODEL8_Model_9" xfId="12245" xr:uid="{00000000-0005-0000-0000-0000BF2F0000}"/>
    <cellStyle name="p_DCF_EQCOMP5_MODEL8_model11.xls Chart 1" xfId="12246" xr:uid="{00000000-0005-0000-0000-0000C02F0000}"/>
    <cellStyle name="p_DCF_EQCOMP5_MODEL8_model28" xfId="12247" xr:uid="{00000000-0005-0000-0000-0000C12F0000}"/>
    <cellStyle name="p_DCF_EQCOMP5_MODEL8_model5.xls Chart 1" xfId="12248" xr:uid="{00000000-0005-0000-0000-0000C22F0000}"/>
    <cellStyle name="p_DCF_EQCOMP5_MODEL8_model6.xls Chart 1" xfId="12249" xr:uid="{00000000-0005-0000-0000-0000C32F0000}"/>
    <cellStyle name="p_DCF_EQCOMP5_MODEL8_Newmodel12" xfId="12250" xr:uid="{00000000-0005-0000-0000-0000C42F0000}"/>
    <cellStyle name="p_DCF_EQCOMP5_MODEL8_PwC (Version 10) Revised- CP site by site1" xfId="12251" xr:uid="{00000000-0005-0000-0000-0000C52F0000}"/>
    <cellStyle name="p_DCF_EQCOMP5_MODEL8_PwC (Version 10) Revised- CP site by site1_finalised and conformed model2" xfId="12252" xr:uid="{00000000-0005-0000-0000-0000C62F0000}"/>
    <cellStyle name="p_DCF_EQCOMP5_MODEL8_PwC (Version 10) Revised- CP site by site1_Gassman Mods26" xfId="12253" xr:uid="{00000000-0005-0000-0000-0000C72F0000}"/>
    <cellStyle name="p_DCF_EQCOMP5_MODEL8_PwC (Version 10) Revised- CP site by site1_Italian model9" xfId="12254" xr:uid="{00000000-0005-0000-0000-0000C82F0000}"/>
    <cellStyle name="p_DCF_EQCOMP5_MODEL8_PwC (Version 10) Revised- CP site by site1_LTM Analysis" xfId="12255" xr:uid="{00000000-0005-0000-0000-0000C92F0000}"/>
    <cellStyle name="p_DCF_EQCOMP5_MODEL8_PwC (Version 10) Revised- CP site by site1_Model_1" xfId="12256" xr:uid="{00000000-0005-0000-0000-0000CA2F0000}"/>
    <cellStyle name="p_DCF_EQCOMP5_MODEL8_PwC (Version 10) Revised- CP site by site1_model28" xfId="12257" xr:uid="{00000000-0005-0000-0000-0000CB2F0000}"/>
    <cellStyle name="p_DCF_EQCOMP5_MODEL8_PwC (Version 10) Revised- CP site by site1_stupid_2" xfId="12258" xr:uid="{00000000-0005-0000-0000-0000CC2F0000}"/>
    <cellStyle name="p_DCF_EQCOMP5_MODEL8_splash mod 050700" xfId="12259" xr:uid="{00000000-0005-0000-0000-0000CD2F0000}"/>
    <cellStyle name="p_DCF_EQCOMP5_MODEL8_stupid_2" xfId="12260" xr:uid="{00000000-0005-0000-0000-0000CE2F0000}"/>
    <cellStyle name="p_DCF_EQCOMP5_PwC (Version 10) Revised- CP site by site1" xfId="12261" xr:uid="{00000000-0005-0000-0000-0000CF2F0000}"/>
    <cellStyle name="p_DCF_EQCOMP5_PwC (Version 10) Revised- CP site by site1_finalised and conformed model2" xfId="12262" xr:uid="{00000000-0005-0000-0000-0000D02F0000}"/>
    <cellStyle name="p_DCF_EQCOMP5_PwC (Version 10) Revised- CP site by site1_finalised and conformed model2_1" xfId="12263" xr:uid="{00000000-0005-0000-0000-0000D12F0000}"/>
    <cellStyle name="p_DCF_EQCOMP5_PwC (Version 10) Revised- CP site by site1_Gassman Mods26" xfId="12264" xr:uid="{00000000-0005-0000-0000-0000D22F0000}"/>
    <cellStyle name="p_DCF_EQCOMP5_PwC (Version 10) Revised- CP site by site1_Italian model9" xfId="12265" xr:uid="{00000000-0005-0000-0000-0000D32F0000}"/>
    <cellStyle name="p_DCF_EQCOMP5_PwC (Version 10) Revised- CP site by site1_LTM Analysis" xfId="12266" xr:uid="{00000000-0005-0000-0000-0000D42F0000}"/>
    <cellStyle name="p_DCF_EQCOMP5_PwC (Version 10) Revised- CP site by site1_Model_1" xfId="12267" xr:uid="{00000000-0005-0000-0000-0000D52F0000}"/>
    <cellStyle name="p_DCF_EQCOMP5_PwC (Version 10) Revised- CP site by site1_model28" xfId="12268" xr:uid="{00000000-0005-0000-0000-0000D62F0000}"/>
    <cellStyle name="p_DCF_EQCOMP5_PwC (Version 10) Revised- CP site by site1_stupid_2" xfId="12269" xr:uid="{00000000-0005-0000-0000-0000D72F0000}"/>
    <cellStyle name="p_DCF_EQCOMP5_PwC (Version 7) Revised- CP site by site" xfId="12270" xr:uid="{00000000-0005-0000-0000-0000D82F0000}"/>
    <cellStyle name="p_DCF_EQCOMP5_splash mod 050700" xfId="12271" xr:uid="{00000000-0005-0000-0000-0000D92F0000}"/>
    <cellStyle name="p_DCF_EQCOMP5_stupid_2" xfId="12272" xr:uid="{00000000-0005-0000-0000-0000DA2F0000}"/>
    <cellStyle name="p_DCF_EQCOMP5_tables2" xfId="12273" xr:uid="{00000000-0005-0000-0000-0000DB2F0000}"/>
    <cellStyle name="p_DCF_EQCOMP5_tables2_Apax Banks Model2" xfId="12274" xr:uid="{00000000-0005-0000-0000-0000DC2F0000}"/>
    <cellStyle name="p_DCF_EQCOMP5_tables2_ESCOperatingModel Revised Base Case Banks 260101" xfId="12275" xr:uid="{00000000-0005-0000-0000-0000DD2F0000}"/>
    <cellStyle name="p_DCF_EQCOMP5_tables2_finalised and conformed model2" xfId="12276" xr:uid="{00000000-0005-0000-0000-0000DE2F0000}"/>
    <cellStyle name="p_DCF_EQCOMP5_tables2_finalised and conformed model2_1" xfId="12277" xr:uid="{00000000-0005-0000-0000-0000DF2F0000}"/>
    <cellStyle name="p_DCF_EQCOMP5_tables2_Gassman Mods26" xfId="12278" xr:uid="{00000000-0005-0000-0000-0000E02F0000}"/>
    <cellStyle name="p_DCF_EQCOMP5_tables2_Italian model9" xfId="12279" xr:uid="{00000000-0005-0000-0000-0000E12F0000}"/>
    <cellStyle name="p_DCF_EQCOMP5_tables2_LTM Analysis" xfId="12280" xr:uid="{00000000-0005-0000-0000-0000E22F0000}"/>
    <cellStyle name="p_DCF_EQCOMP5_tables2_Model_1" xfId="12281" xr:uid="{00000000-0005-0000-0000-0000E32F0000}"/>
    <cellStyle name="p_DCF_EQCOMP5_tables2_model11.xls Chart 1" xfId="12282" xr:uid="{00000000-0005-0000-0000-0000E42F0000}"/>
    <cellStyle name="p_DCF_EQCOMP5_tables2_model28" xfId="12283" xr:uid="{00000000-0005-0000-0000-0000E52F0000}"/>
    <cellStyle name="p_DCF_EQCOMP5_tables2_model5.xls Chart 1" xfId="12284" xr:uid="{00000000-0005-0000-0000-0000E62F0000}"/>
    <cellStyle name="p_DCF_EQCOMP5_tables2_model6.xls Chart 1" xfId="12285" xr:uid="{00000000-0005-0000-0000-0000E72F0000}"/>
    <cellStyle name="p_DCF_EQCOMP5_tables2_PwC (Version 10) Revised- CP site by site1" xfId="12286" xr:uid="{00000000-0005-0000-0000-0000E82F0000}"/>
    <cellStyle name="p_DCF_EQCOMP5_tables2_PwC (Version 10) Revised- CP site by site1_finalised and conformed model2" xfId="12287" xr:uid="{00000000-0005-0000-0000-0000E92F0000}"/>
    <cellStyle name="p_DCF_EQCOMP5_tables2_PwC (Version 10) Revised- CP site by site1_Gassman Mods26" xfId="12288" xr:uid="{00000000-0005-0000-0000-0000EA2F0000}"/>
    <cellStyle name="p_DCF_EQCOMP5_tables2_PwC (Version 10) Revised- CP site by site1_Italian model9" xfId="12289" xr:uid="{00000000-0005-0000-0000-0000EB2F0000}"/>
    <cellStyle name="p_DCF_EQCOMP5_tables2_PwC (Version 10) Revised- CP site by site1_LTM Analysis" xfId="12290" xr:uid="{00000000-0005-0000-0000-0000EC2F0000}"/>
    <cellStyle name="p_DCF_EQCOMP5_tables2_PwC (Version 10) Revised- CP site by site1_Modefuckup" xfId="12291" xr:uid="{00000000-0005-0000-0000-0000ED2F0000}"/>
    <cellStyle name="p_DCF_EQCOMP5_tables2_PwC (Version 10) Revised- CP site by site1_Model_1" xfId="12292" xr:uid="{00000000-0005-0000-0000-0000EE2F0000}"/>
    <cellStyle name="p_DCF_EQCOMP5_tables2_PwC (Version 10) Revised- CP site by site1_model28" xfId="12293" xr:uid="{00000000-0005-0000-0000-0000EF2F0000}"/>
    <cellStyle name="p_DCF_EQCOMP5_tables2_PwC (Version 10) Revised- CP site by site1_stupid_2" xfId="12294" xr:uid="{00000000-0005-0000-0000-0000F02F0000}"/>
    <cellStyle name="p_DCF_EQCOMP5_tables2_splash mod 050700" xfId="12295" xr:uid="{00000000-0005-0000-0000-0000F12F0000}"/>
    <cellStyle name="p_DCF_EQCOMP5_tables2_stupid_2" xfId="12296" xr:uid="{00000000-0005-0000-0000-0000F22F0000}"/>
    <cellStyle name="p_DCF_Equity Comps" xfId="12297" xr:uid="{00000000-0005-0000-0000-0000F32F0000}"/>
    <cellStyle name="p_DCF_Equity Comps_comps9" xfId="12298" xr:uid="{00000000-0005-0000-0000-0000F42F0000}"/>
    <cellStyle name="p_DCF_ES061199" xfId="12299" xr:uid="{00000000-0005-0000-0000-0000F52F0000}"/>
    <cellStyle name="p_DCF_g_mod11" xfId="12300" xr:uid="{00000000-0005-0000-0000-0000F62F0000}"/>
    <cellStyle name="p_DCF_HISTFIN" xfId="12301" xr:uid="{00000000-0005-0000-0000-0000F72F0000}"/>
    <cellStyle name="p_DCF_HYCOMPS5" xfId="12302" xr:uid="{00000000-0005-0000-0000-0000F82F0000}"/>
    <cellStyle name="p_DCF_HYCOMPS5_Apax Banks Model2" xfId="12303" xr:uid="{00000000-0005-0000-0000-0000F92F0000}"/>
    <cellStyle name="p_DCF_HYCOMPS5_ESCOperatingModel Revised Base Case Banks 260101" xfId="12304" xr:uid="{00000000-0005-0000-0000-0000FA2F0000}"/>
    <cellStyle name="p_DCF_HYCOMPS5_FINALGRA" xfId="12305" xr:uid="{00000000-0005-0000-0000-0000FB2F0000}"/>
    <cellStyle name="p_DCF_HYCOMPS5_FINALGRA_Apax Banks Model2" xfId="12306" xr:uid="{00000000-0005-0000-0000-0000FC2F0000}"/>
    <cellStyle name="p_DCF_HYCOMPS5_FINALGRA_ESCOperatingModel Revised Base Case Banks 260101" xfId="12307" xr:uid="{00000000-0005-0000-0000-0000FD2F0000}"/>
    <cellStyle name="p_DCF_HYCOMPS5_FINALGRA_finalised and conformed model2" xfId="12308" xr:uid="{00000000-0005-0000-0000-0000FE2F0000}"/>
    <cellStyle name="p_DCF_HYCOMPS5_FINALGRA_finalised and conformed model2_1" xfId="12309" xr:uid="{00000000-0005-0000-0000-0000FF2F0000}"/>
    <cellStyle name="p_DCF_HYCOMPS5_FINALGRA_Gassman Mods26" xfId="12310" xr:uid="{00000000-0005-0000-0000-000000300000}"/>
    <cellStyle name="p_DCF_HYCOMPS5_FINALGRA_Italian model9" xfId="12311" xr:uid="{00000000-0005-0000-0000-000001300000}"/>
    <cellStyle name="p_DCF_HYCOMPS5_FINALGRA_LTM Analysis" xfId="12312" xr:uid="{00000000-0005-0000-0000-000002300000}"/>
    <cellStyle name="p_DCF_HYCOMPS5_FINALGRA_Model_1" xfId="12313" xr:uid="{00000000-0005-0000-0000-000003300000}"/>
    <cellStyle name="p_DCF_HYCOMPS5_FINALGRA_model11.xls Chart 1" xfId="12314" xr:uid="{00000000-0005-0000-0000-000004300000}"/>
    <cellStyle name="p_DCF_HYCOMPS5_FINALGRA_model28" xfId="12315" xr:uid="{00000000-0005-0000-0000-000005300000}"/>
    <cellStyle name="p_DCF_HYCOMPS5_FINALGRA_model5.xls Chart 1" xfId="12316" xr:uid="{00000000-0005-0000-0000-000006300000}"/>
    <cellStyle name="p_DCF_HYCOMPS5_FINALGRA_model6.xls Chart 1" xfId="12317" xr:uid="{00000000-0005-0000-0000-000007300000}"/>
    <cellStyle name="p_DCF_HYCOMPS5_FINALGRA_PwC (Version 10) Revised- CP site by site1" xfId="12318" xr:uid="{00000000-0005-0000-0000-000008300000}"/>
    <cellStyle name="p_DCF_HYCOMPS5_FINALGRA_PwC (Version 10) Revised- CP site by site1_finalised and conformed model2" xfId="12319" xr:uid="{00000000-0005-0000-0000-000009300000}"/>
    <cellStyle name="p_DCF_HYCOMPS5_FINALGRA_PwC (Version 10) Revised- CP site by site1_Gassman Mods26" xfId="12320" xr:uid="{00000000-0005-0000-0000-00000A300000}"/>
    <cellStyle name="p_DCF_HYCOMPS5_FINALGRA_PwC (Version 10) Revised- CP site by site1_Italian model9" xfId="12321" xr:uid="{00000000-0005-0000-0000-00000B300000}"/>
    <cellStyle name="p_DCF_HYCOMPS5_FINALGRA_PwC (Version 10) Revised- CP site by site1_LTM Analysis" xfId="12322" xr:uid="{00000000-0005-0000-0000-00000C300000}"/>
    <cellStyle name="p_DCF_HYCOMPS5_FINALGRA_PwC (Version 10) Revised- CP site by site1_Modefuckup" xfId="12323" xr:uid="{00000000-0005-0000-0000-00000D300000}"/>
    <cellStyle name="p_DCF_HYCOMPS5_FINALGRA_PwC (Version 10) Revised- CP site by site1_Model_1" xfId="12324" xr:uid="{00000000-0005-0000-0000-00000E300000}"/>
    <cellStyle name="p_DCF_HYCOMPS5_FINALGRA_PwC (Version 10) Revised- CP site by site1_model28" xfId="12325" xr:uid="{00000000-0005-0000-0000-00000F300000}"/>
    <cellStyle name="p_DCF_HYCOMPS5_FINALGRA_PwC (Version 10) Revised- CP site by site1_stupid_2" xfId="12326" xr:uid="{00000000-0005-0000-0000-000010300000}"/>
    <cellStyle name="p_DCF_HYCOMPS5_FINALGRA_splash mod 050700" xfId="12327" xr:uid="{00000000-0005-0000-0000-000011300000}"/>
    <cellStyle name="p_DCF_HYCOMPS5_FINALGRA_stupid_2" xfId="12328" xr:uid="{00000000-0005-0000-0000-000012300000}"/>
    <cellStyle name="p_DCF_HYCOMPS5_Gassman Mods26" xfId="12329" xr:uid="{00000000-0005-0000-0000-000013300000}"/>
    <cellStyle name="p_DCF_HYCOMPS5_Model_1" xfId="12330" xr:uid="{00000000-0005-0000-0000-000014300000}"/>
    <cellStyle name="p_DCF_HYCOMPS5_model11.xls Chart 1" xfId="12331" xr:uid="{00000000-0005-0000-0000-000015300000}"/>
    <cellStyle name="p_DCF_HYCOMPS5_Model3" xfId="12332" xr:uid="{00000000-0005-0000-0000-000016300000}"/>
    <cellStyle name="p_DCF_HYCOMPS5_Model3_Gassman Mods26" xfId="12333" xr:uid="{00000000-0005-0000-0000-000017300000}"/>
    <cellStyle name="p_DCF_HYCOMPS5_Model3_Model_1" xfId="12334" xr:uid="{00000000-0005-0000-0000-000018300000}"/>
    <cellStyle name="p_DCF_HYCOMPS5_Model3_stupid_2" xfId="12335" xr:uid="{00000000-0005-0000-0000-000019300000}"/>
    <cellStyle name="p_DCF_HYCOMPS5_model5.xls Chart 1" xfId="12336" xr:uid="{00000000-0005-0000-0000-00001A300000}"/>
    <cellStyle name="p_DCF_HYCOMPS5_model6.xls Chart 1" xfId="12337" xr:uid="{00000000-0005-0000-0000-00001B300000}"/>
    <cellStyle name="p_DCF_HYCOMPS5_MODEL8" xfId="12338" xr:uid="{00000000-0005-0000-0000-00001C300000}"/>
    <cellStyle name="p_DCF_HYCOMPS5_MODEL8_Apax Banks Model2" xfId="12339" xr:uid="{00000000-0005-0000-0000-00001D300000}"/>
    <cellStyle name="p_DCF_HYCOMPS5_MODEL8_ESCOperatingModel Revised Base Case Banks 260101" xfId="12340" xr:uid="{00000000-0005-0000-0000-00001E300000}"/>
    <cellStyle name="p_DCF_HYCOMPS5_MODEL8_finalised and conformed model2" xfId="12341" xr:uid="{00000000-0005-0000-0000-00001F300000}"/>
    <cellStyle name="p_DCF_HYCOMPS5_MODEL8_Gassman Mods26" xfId="12342" xr:uid="{00000000-0005-0000-0000-000020300000}"/>
    <cellStyle name="p_DCF_HYCOMPS5_MODEL8_Italian model9" xfId="12343" xr:uid="{00000000-0005-0000-0000-000021300000}"/>
    <cellStyle name="p_DCF_HYCOMPS5_MODEL8_LTM Analysis" xfId="12344" xr:uid="{00000000-0005-0000-0000-000022300000}"/>
    <cellStyle name="p_DCF_HYCOMPS5_MODEL8_Model_1" xfId="12345" xr:uid="{00000000-0005-0000-0000-000023300000}"/>
    <cellStyle name="p_DCF_HYCOMPS5_MODEL8_Model_9" xfId="12346" xr:uid="{00000000-0005-0000-0000-000024300000}"/>
    <cellStyle name="p_DCF_HYCOMPS5_MODEL8_model11.xls Chart 1" xfId="12347" xr:uid="{00000000-0005-0000-0000-000025300000}"/>
    <cellStyle name="p_DCF_HYCOMPS5_MODEL8_model28" xfId="12348" xr:uid="{00000000-0005-0000-0000-000026300000}"/>
    <cellStyle name="p_DCF_HYCOMPS5_MODEL8_model5.xls Chart 1" xfId="12349" xr:uid="{00000000-0005-0000-0000-000027300000}"/>
    <cellStyle name="p_DCF_HYCOMPS5_MODEL8_model6.xls Chart 1" xfId="12350" xr:uid="{00000000-0005-0000-0000-000028300000}"/>
    <cellStyle name="p_DCF_HYCOMPS5_MODEL8_Newmodel12" xfId="12351" xr:uid="{00000000-0005-0000-0000-000029300000}"/>
    <cellStyle name="p_DCF_HYCOMPS5_MODEL8_PwC (Version 10) Revised- CP site by site1" xfId="12352" xr:uid="{00000000-0005-0000-0000-00002A300000}"/>
    <cellStyle name="p_DCF_HYCOMPS5_MODEL8_PwC (Version 10) Revised- CP site by site1_finalised and conformed model2" xfId="12353" xr:uid="{00000000-0005-0000-0000-00002B300000}"/>
    <cellStyle name="p_DCF_HYCOMPS5_MODEL8_PwC (Version 10) Revised- CP site by site1_Gassman Mods26" xfId="12354" xr:uid="{00000000-0005-0000-0000-00002C300000}"/>
    <cellStyle name="p_DCF_HYCOMPS5_MODEL8_PwC (Version 10) Revised- CP site by site1_Italian model9" xfId="12355" xr:uid="{00000000-0005-0000-0000-00002D300000}"/>
    <cellStyle name="p_DCF_HYCOMPS5_MODEL8_PwC (Version 10) Revised- CP site by site1_LTM Analysis" xfId="12356" xr:uid="{00000000-0005-0000-0000-00002E300000}"/>
    <cellStyle name="p_DCF_HYCOMPS5_MODEL8_PwC (Version 10) Revised- CP site by site1_Model_1" xfId="12357" xr:uid="{00000000-0005-0000-0000-00002F300000}"/>
    <cellStyle name="p_DCF_HYCOMPS5_MODEL8_PwC (Version 10) Revised- CP site by site1_model28" xfId="12358" xr:uid="{00000000-0005-0000-0000-000030300000}"/>
    <cellStyle name="p_DCF_HYCOMPS5_MODEL8_PwC (Version 10) Revised- CP site by site1_stupid_2" xfId="12359" xr:uid="{00000000-0005-0000-0000-000031300000}"/>
    <cellStyle name="p_DCF_HYCOMPS5_MODEL8_splash mod 050700" xfId="12360" xr:uid="{00000000-0005-0000-0000-000032300000}"/>
    <cellStyle name="p_DCF_HYCOMPS5_MODEL8_stupid_2" xfId="12361" xr:uid="{00000000-0005-0000-0000-000033300000}"/>
    <cellStyle name="p_DCF_HYCOMPS5_PwC (Version 10) Revised- CP site by site1" xfId="12362" xr:uid="{00000000-0005-0000-0000-000034300000}"/>
    <cellStyle name="p_DCF_HYCOMPS5_PwC (Version 10) Revised- CP site by site1_finalised and conformed model2" xfId="12363" xr:uid="{00000000-0005-0000-0000-000035300000}"/>
    <cellStyle name="p_DCF_HYCOMPS5_PwC (Version 10) Revised- CP site by site1_finalised and conformed model2_1" xfId="12364" xr:uid="{00000000-0005-0000-0000-000036300000}"/>
    <cellStyle name="p_DCF_HYCOMPS5_PwC (Version 10) Revised- CP site by site1_Gassman Mods26" xfId="12365" xr:uid="{00000000-0005-0000-0000-000037300000}"/>
    <cellStyle name="p_DCF_HYCOMPS5_PwC (Version 10) Revised- CP site by site1_Italian model9" xfId="12366" xr:uid="{00000000-0005-0000-0000-000038300000}"/>
    <cellStyle name="p_DCF_HYCOMPS5_PwC (Version 10) Revised- CP site by site1_LTM Analysis" xfId="12367" xr:uid="{00000000-0005-0000-0000-000039300000}"/>
    <cellStyle name="p_DCF_HYCOMPS5_PwC (Version 10) Revised- CP site by site1_Model_1" xfId="12368" xr:uid="{00000000-0005-0000-0000-00003A300000}"/>
    <cellStyle name="p_DCF_HYCOMPS5_PwC (Version 10) Revised- CP site by site1_model28" xfId="12369" xr:uid="{00000000-0005-0000-0000-00003B300000}"/>
    <cellStyle name="p_DCF_HYCOMPS5_PwC (Version 10) Revised- CP site by site1_stupid_2" xfId="12370" xr:uid="{00000000-0005-0000-0000-00003C300000}"/>
    <cellStyle name="p_DCF_HYCOMPS5_PwC (Version 7) Revised- CP site by site" xfId="12371" xr:uid="{00000000-0005-0000-0000-00003D300000}"/>
    <cellStyle name="p_DCF_HYCOMPS5_splash mod 050700" xfId="12372" xr:uid="{00000000-0005-0000-0000-00003E300000}"/>
    <cellStyle name="p_DCF_HYCOMPS5_stupid_2" xfId="12373" xr:uid="{00000000-0005-0000-0000-00003F300000}"/>
    <cellStyle name="p_DCF_HYCOMPS5_tables2" xfId="12374" xr:uid="{00000000-0005-0000-0000-000040300000}"/>
    <cellStyle name="p_DCF_HYCOMPS5_tables2_Apax Banks Model2" xfId="12375" xr:uid="{00000000-0005-0000-0000-000041300000}"/>
    <cellStyle name="p_DCF_HYCOMPS5_tables2_ESCOperatingModel Revised Base Case Banks 260101" xfId="12376" xr:uid="{00000000-0005-0000-0000-000042300000}"/>
    <cellStyle name="p_DCF_HYCOMPS5_tables2_finalised and conformed model2" xfId="12377" xr:uid="{00000000-0005-0000-0000-000043300000}"/>
    <cellStyle name="p_DCF_HYCOMPS5_tables2_finalised and conformed model2_1" xfId="12378" xr:uid="{00000000-0005-0000-0000-000044300000}"/>
    <cellStyle name="p_DCF_HYCOMPS5_tables2_Gassman Mods26" xfId="12379" xr:uid="{00000000-0005-0000-0000-000045300000}"/>
    <cellStyle name="p_DCF_HYCOMPS5_tables2_Italian model9" xfId="12380" xr:uid="{00000000-0005-0000-0000-000046300000}"/>
    <cellStyle name="p_DCF_HYCOMPS5_tables2_LTM Analysis" xfId="12381" xr:uid="{00000000-0005-0000-0000-000047300000}"/>
    <cellStyle name="p_DCF_HYCOMPS5_tables2_Model_1" xfId="12382" xr:uid="{00000000-0005-0000-0000-000048300000}"/>
    <cellStyle name="p_DCF_HYCOMPS5_tables2_model11.xls Chart 1" xfId="12383" xr:uid="{00000000-0005-0000-0000-000049300000}"/>
    <cellStyle name="p_DCF_HYCOMPS5_tables2_model28" xfId="12384" xr:uid="{00000000-0005-0000-0000-00004A300000}"/>
    <cellStyle name="p_DCF_HYCOMPS5_tables2_model5.xls Chart 1" xfId="12385" xr:uid="{00000000-0005-0000-0000-00004B300000}"/>
    <cellStyle name="p_DCF_HYCOMPS5_tables2_model6.xls Chart 1" xfId="12386" xr:uid="{00000000-0005-0000-0000-00004C300000}"/>
    <cellStyle name="p_DCF_HYCOMPS5_tables2_PwC (Version 10) Revised- CP site by site1" xfId="12387" xr:uid="{00000000-0005-0000-0000-00004D300000}"/>
    <cellStyle name="p_DCF_HYCOMPS5_tables2_PwC (Version 10) Revised- CP site by site1_finalised and conformed model2" xfId="12388" xr:uid="{00000000-0005-0000-0000-00004E300000}"/>
    <cellStyle name="p_DCF_HYCOMPS5_tables2_PwC (Version 10) Revised- CP site by site1_Gassman Mods26" xfId="12389" xr:uid="{00000000-0005-0000-0000-00004F300000}"/>
    <cellStyle name="p_DCF_HYCOMPS5_tables2_PwC (Version 10) Revised- CP site by site1_Italian model9" xfId="12390" xr:uid="{00000000-0005-0000-0000-000050300000}"/>
    <cellStyle name="p_DCF_HYCOMPS5_tables2_PwC (Version 10) Revised- CP site by site1_LTM Analysis" xfId="12391" xr:uid="{00000000-0005-0000-0000-000051300000}"/>
    <cellStyle name="p_DCF_HYCOMPS5_tables2_PwC (Version 10) Revised- CP site by site1_Modefuckup" xfId="12392" xr:uid="{00000000-0005-0000-0000-000052300000}"/>
    <cellStyle name="p_DCF_HYCOMPS5_tables2_PwC (Version 10) Revised- CP site by site1_Model_1" xfId="12393" xr:uid="{00000000-0005-0000-0000-000053300000}"/>
    <cellStyle name="p_DCF_HYCOMPS5_tables2_PwC (Version 10) Revised- CP site by site1_model28" xfId="12394" xr:uid="{00000000-0005-0000-0000-000054300000}"/>
    <cellStyle name="p_DCF_HYCOMPS5_tables2_PwC (Version 10) Revised- CP site by site1_stupid_2" xfId="12395" xr:uid="{00000000-0005-0000-0000-000055300000}"/>
    <cellStyle name="p_DCF_HYCOMPS5_tables2_splash mod 050700" xfId="12396" xr:uid="{00000000-0005-0000-0000-000056300000}"/>
    <cellStyle name="p_DCF_HYCOMPS5_tables2_stupid_2" xfId="12397" xr:uid="{00000000-0005-0000-0000-000057300000}"/>
    <cellStyle name="p_DCF_JP061799" xfId="12398" xr:uid="{00000000-0005-0000-0000-000058300000}"/>
    <cellStyle name="p_DCF_LN031801" xfId="12399" xr:uid="{00000000-0005-0000-0000-000059300000}"/>
    <cellStyle name="p_DCF_M&amp;A" xfId="12400" xr:uid="{00000000-0005-0000-0000-00005A300000}"/>
    <cellStyle name="p_DCF_Model 51 Bank Book" xfId="12401" xr:uid="{00000000-0005-0000-0000-00005B300000}"/>
    <cellStyle name="p_DCF_Model_1" xfId="12402" xr:uid="{00000000-0005-0000-0000-00005C300000}"/>
    <cellStyle name="p_DCF_Model_43.xls(New Model)" xfId="12403" xr:uid="{00000000-0005-0000-0000-00005D300000}"/>
    <cellStyle name="p_DCF_MODEL1" xfId="12404" xr:uid="{00000000-0005-0000-0000-00005E300000}"/>
    <cellStyle name="p_DCF_model18" xfId="12405" xr:uid="{00000000-0005-0000-0000-00005F300000}"/>
    <cellStyle name="p_DCF_Model28.xls Chart 1" xfId="12406" xr:uid="{00000000-0005-0000-0000-000060300000}"/>
    <cellStyle name="p_DCF_Model28.xls Chart 2" xfId="12407" xr:uid="{00000000-0005-0000-0000-000061300000}"/>
    <cellStyle name="p_DCF_Model3" xfId="12408" xr:uid="{00000000-0005-0000-0000-000062300000}"/>
    <cellStyle name="p_DCF_Model3_Gassman Mods26" xfId="12409" xr:uid="{00000000-0005-0000-0000-000063300000}"/>
    <cellStyle name="p_DCF_Model3_Model_1" xfId="12410" xr:uid="{00000000-0005-0000-0000-000064300000}"/>
    <cellStyle name="p_DCF_Model3_stupid_2" xfId="12411" xr:uid="{00000000-0005-0000-0000-000065300000}"/>
    <cellStyle name="p_DCF_Model37" xfId="12412" xr:uid="{00000000-0005-0000-0000-000066300000}"/>
    <cellStyle name="p_DCF_Model37_Book3" xfId="12413" xr:uid="{00000000-0005-0000-0000-000067300000}"/>
    <cellStyle name="p_DCF_Model37_Gassman Mods26" xfId="12414" xr:uid="{00000000-0005-0000-0000-000068300000}"/>
    <cellStyle name="p_DCF_Model37_Model_1" xfId="12415" xr:uid="{00000000-0005-0000-0000-000069300000}"/>
    <cellStyle name="p_DCF_Model37_stupid_2" xfId="12416" xr:uid="{00000000-0005-0000-0000-00006A300000}"/>
    <cellStyle name="p_DCF_ModelwVan31" xfId="12417" xr:uid="{00000000-0005-0000-0000-00006B300000}"/>
    <cellStyle name="p_DCF_ModelwVan31_1" xfId="12418" xr:uid="{00000000-0005-0000-0000-00006C300000}"/>
    <cellStyle name="p_DCF_ModelwVan31_1_stupid_2" xfId="12419" xr:uid="{00000000-0005-0000-0000-00006D300000}"/>
    <cellStyle name="p_DCF_NEWMOD5" xfId="12420" xr:uid="{00000000-0005-0000-0000-00006E300000}"/>
    <cellStyle name="p_DCF_NEWMOD5_finalised and conformed model2" xfId="12421" xr:uid="{00000000-0005-0000-0000-00006F300000}"/>
    <cellStyle name="p_DCF_NEWMOD5_Gassman Mods26" xfId="12422" xr:uid="{00000000-0005-0000-0000-000070300000}"/>
    <cellStyle name="p_DCF_NEWMOD5_Italian model9" xfId="12423" xr:uid="{00000000-0005-0000-0000-000071300000}"/>
    <cellStyle name="p_DCF_NEWMOD5_LTM Analysis" xfId="12424" xr:uid="{00000000-0005-0000-0000-000072300000}"/>
    <cellStyle name="p_DCF_NEWMOD5_Model_1" xfId="12425" xr:uid="{00000000-0005-0000-0000-000073300000}"/>
    <cellStyle name="p_DCF_NEWMOD5_Model_9" xfId="12426" xr:uid="{00000000-0005-0000-0000-000074300000}"/>
    <cellStyle name="p_DCF_NEWMOD5_model28" xfId="12427" xr:uid="{00000000-0005-0000-0000-000075300000}"/>
    <cellStyle name="p_DCF_NEWMOD5_Newmodel12" xfId="12428" xr:uid="{00000000-0005-0000-0000-000076300000}"/>
    <cellStyle name="p_DCF_NEWMOD5_stupid_2" xfId="12429" xr:uid="{00000000-0005-0000-0000-000077300000}"/>
    <cellStyle name="p_DCF_NPSI 22 - Banks1 no password19" xfId="12430" xr:uid="{00000000-0005-0000-0000-000078300000}"/>
    <cellStyle name="p_DCF_NPSI 22 - Banks1 no password19_Gassman Mods26" xfId="12431" xr:uid="{00000000-0005-0000-0000-000079300000}"/>
    <cellStyle name="p_DCF_NPSI 22 - Banks1 no password19_Model_1" xfId="12432" xr:uid="{00000000-0005-0000-0000-00007A300000}"/>
    <cellStyle name="p_DCF_NPSI 22 - Banks1 no password19_stupid_2" xfId="12433" xr:uid="{00000000-0005-0000-0000-00007B300000}"/>
    <cellStyle name="p_DCF_Old Model 10 for Charts" xfId="12434" xr:uid="{00000000-0005-0000-0000-00007C300000}"/>
    <cellStyle name="p_DCF_prucomps" xfId="12435" xr:uid="{00000000-0005-0000-0000-00007D300000}"/>
    <cellStyle name="p_DCF_prucomps_finalised and conformed model2" xfId="12436" xr:uid="{00000000-0005-0000-0000-00007E300000}"/>
    <cellStyle name="p_DCF_prucomps_finalised and conformed model2_Gassman Mods26" xfId="12437" xr:uid="{00000000-0005-0000-0000-00007F300000}"/>
    <cellStyle name="p_DCF_prucomps_finalised and conformed model2_Model_1" xfId="12438" xr:uid="{00000000-0005-0000-0000-000080300000}"/>
    <cellStyle name="p_DCF_prucomps_finalised and conformed model2_stupid_2" xfId="12439" xr:uid="{00000000-0005-0000-0000-000081300000}"/>
    <cellStyle name="p_DCF_prucomps_Gassman Mods26" xfId="12440" xr:uid="{00000000-0005-0000-0000-000082300000}"/>
    <cellStyle name="p_DCF_prucomps_LTM Analysis" xfId="12441" xr:uid="{00000000-0005-0000-0000-000083300000}"/>
    <cellStyle name="p_DCF_prucomps_Model_1" xfId="12442" xr:uid="{00000000-0005-0000-0000-000084300000}"/>
    <cellStyle name="p_DCF_prucomps_model28" xfId="12443" xr:uid="{00000000-0005-0000-0000-000085300000}"/>
    <cellStyle name="p_DCF_prucomps_stupid_2" xfId="12444" xr:uid="{00000000-0005-0000-0000-000086300000}"/>
    <cellStyle name="p_DCF_RECON1" xfId="12445" xr:uid="{00000000-0005-0000-0000-000087300000}"/>
    <cellStyle name="p_DCF_RECON1_Gassman Mods26" xfId="12446" xr:uid="{00000000-0005-0000-0000-000088300000}"/>
    <cellStyle name="p_DCF_RECON1_Model_1" xfId="12447" xr:uid="{00000000-0005-0000-0000-000089300000}"/>
    <cellStyle name="p_DCF_RECON1_Model3" xfId="12448" xr:uid="{00000000-0005-0000-0000-00008A300000}"/>
    <cellStyle name="p_DCF_RECON1_Model3_Gassman Mods26" xfId="12449" xr:uid="{00000000-0005-0000-0000-00008B300000}"/>
    <cellStyle name="p_DCF_RECON1_Model3_Model_1" xfId="12450" xr:uid="{00000000-0005-0000-0000-00008C300000}"/>
    <cellStyle name="p_DCF_RECON1_Model3_stupid_2" xfId="12451" xr:uid="{00000000-0005-0000-0000-00008D300000}"/>
    <cellStyle name="p_DCF_RECON1_stupid_2" xfId="12452" xr:uid="{00000000-0005-0000-0000-00008E300000}"/>
    <cellStyle name="p_DCF_stupid_2" xfId="12453" xr:uid="{00000000-0005-0000-0000-00008F300000}"/>
    <cellStyle name="p_DCF_TABLES" xfId="12454" xr:uid="{00000000-0005-0000-0000-000090300000}"/>
    <cellStyle name="p_DCF_TABLES_Gassman Mods26" xfId="12455" xr:uid="{00000000-0005-0000-0000-000091300000}"/>
    <cellStyle name="p_DCF_TABLES_Model_1" xfId="12456" xr:uid="{00000000-0005-0000-0000-000092300000}"/>
    <cellStyle name="p_DCF_TABLES_Model3" xfId="12457" xr:uid="{00000000-0005-0000-0000-000093300000}"/>
    <cellStyle name="p_DCF_TABLES_Model3_Gassman Mods26" xfId="12458" xr:uid="{00000000-0005-0000-0000-000094300000}"/>
    <cellStyle name="p_DCF_TABLES_Model3_Model_1" xfId="12459" xr:uid="{00000000-0005-0000-0000-000095300000}"/>
    <cellStyle name="p_DCF_TABLES_Model3_stupid_2" xfId="12460" xr:uid="{00000000-0005-0000-0000-000096300000}"/>
    <cellStyle name="p_DCF_TABLES_stupid_2" xfId="12461" xr:uid="{00000000-0005-0000-0000-000097300000}"/>
    <cellStyle name="p_DCF_Template2" xfId="12462" xr:uid="{00000000-0005-0000-0000-000098300000}"/>
    <cellStyle name="p_DCF_Template2_1" xfId="12463" xr:uid="{00000000-0005-0000-0000-000099300000}"/>
    <cellStyle name="p_DCF_Template2_1_Gassman Mods26" xfId="12464" xr:uid="{00000000-0005-0000-0000-00009A300000}"/>
    <cellStyle name="p_DCF_Template2_1_Model_43.xls(New Model)" xfId="12465" xr:uid="{00000000-0005-0000-0000-00009B300000}"/>
    <cellStyle name="p_DCF_Template2_Gassman Mods26" xfId="12466" xr:uid="{00000000-0005-0000-0000-00009C300000}"/>
    <cellStyle name="p_DCF_Template2_Model_43.xls(New Model)" xfId="12467" xr:uid="{00000000-0005-0000-0000-00009D300000}"/>
    <cellStyle name="p_DCF_VERA" xfId="12468" xr:uid="{00000000-0005-0000-0000-00009E300000}"/>
    <cellStyle name="p_DCF_VERA_1" xfId="12469" xr:uid="{00000000-0005-0000-0000-00009F300000}"/>
    <cellStyle name="p_DCF_VERA_1_Gassman Mods26" xfId="12470" xr:uid="{00000000-0005-0000-0000-0000A0300000}"/>
    <cellStyle name="p_DCF_VERA_1_Model_43.xls(New Model)" xfId="12471" xr:uid="{00000000-0005-0000-0000-0000A1300000}"/>
    <cellStyle name="p_DCF_VERA_1_Template2" xfId="12472" xr:uid="{00000000-0005-0000-0000-0000A2300000}"/>
    <cellStyle name="p_DCF_VERA_1_Template2_Gassman Mods26" xfId="12473" xr:uid="{00000000-0005-0000-0000-0000A3300000}"/>
    <cellStyle name="p_DCF_VERA_1_Template2_Model_43.xls(New Model)" xfId="12474" xr:uid="{00000000-0005-0000-0000-0000A4300000}"/>
    <cellStyle name="p_DCF_VERA_aavidmod11.xls Chart 2" xfId="12475" xr:uid="{00000000-0005-0000-0000-0000A5300000}"/>
    <cellStyle name="p_DCF_VERA_aavidmod11.xls Chart 2_Gassman Mods26" xfId="12476" xr:uid="{00000000-0005-0000-0000-0000A6300000}"/>
    <cellStyle name="p_DCF_VERA_aavidmod11.xls Chart 2_Model_1" xfId="12477" xr:uid="{00000000-0005-0000-0000-0000A7300000}"/>
    <cellStyle name="p_DCF_VERA_aavidmod11.xls Chart 2_Model_43.xls(New Model)" xfId="12478" xr:uid="{00000000-0005-0000-0000-0000A8300000}"/>
    <cellStyle name="p_DCF_VERA_aavidmod11.xls Chart 2_stupid_2" xfId="12479" xr:uid="{00000000-0005-0000-0000-0000A9300000}"/>
    <cellStyle name="p_DCF_VERA_bridge returns" xfId="12480" xr:uid="{00000000-0005-0000-0000-0000AA300000}"/>
    <cellStyle name="p_DCF_VERA_comps9" xfId="12481" xr:uid="{00000000-0005-0000-0000-0000AB300000}"/>
    <cellStyle name="p_DCF_VERA_Debt_comps" xfId="12482" xr:uid="{00000000-0005-0000-0000-0000AC300000}"/>
    <cellStyle name="p_DCF_VERA_Debt_comps_comps9" xfId="12483" xr:uid="{00000000-0005-0000-0000-0000AD300000}"/>
    <cellStyle name="p_DCF_VERA_Gassman Mods26" xfId="12484" xr:uid="{00000000-0005-0000-0000-0000AE300000}"/>
    <cellStyle name="p_DCF_VERA_Italian model9" xfId="12485" xr:uid="{00000000-0005-0000-0000-0000AF300000}"/>
    <cellStyle name="p_DCF_VERA_Model_1" xfId="12486" xr:uid="{00000000-0005-0000-0000-0000B0300000}"/>
    <cellStyle name="p_DCF_VERA_Model_43.xls(New Model)" xfId="12487" xr:uid="{00000000-0005-0000-0000-0000B1300000}"/>
    <cellStyle name="p_DCF_VERA_Model02" xfId="12488" xr:uid="{00000000-0005-0000-0000-0000B2300000}"/>
    <cellStyle name="p_DCF_VERA_Model02_Gassman Mods26" xfId="12489" xr:uid="{00000000-0005-0000-0000-0000B3300000}"/>
    <cellStyle name="p_DCF_VERA_Model02_Model_1" xfId="12490" xr:uid="{00000000-0005-0000-0000-0000B4300000}"/>
    <cellStyle name="p_DCF_VERA_Model02_stupid_2" xfId="12491" xr:uid="{00000000-0005-0000-0000-0000B5300000}"/>
    <cellStyle name="p_DCF_VERA_Model3" xfId="12492" xr:uid="{00000000-0005-0000-0000-0000B6300000}"/>
    <cellStyle name="p_DCF_VERA_Model3_Gassman Mods26" xfId="12493" xr:uid="{00000000-0005-0000-0000-0000B7300000}"/>
    <cellStyle name="p_DCF_VERA_Model3_Italian model9" xfId="12494" xr:uid="{00000000-0005-0000-0000-0000B8300000}"/>
    <cellStyle name="p_DCF_VERA_Model3_Model_1" xfId="12495" xr:uid="{00000000-0005-0000-0000-0000B9300000}"/>
    <cellStyle name="p_DCF_VERA_Model3_stupid_2" xfId="12496" xr:uid="{00000000-0005-0000-0000-0000BA300000}"/>
    <cellStyle name="p_DCF_VERA_Roundy's" xfId="12497" xr:uid="{00000000-0005-0000-0000-0000BB300000}"/>
    <cellStyle name="p_DCF_VERA_stupid_2" xfId="12498" xr:uid="{00000000-0005-0000-0000-0000BC300000}"/>
    <cellStyle name="p_DCF_VERA_Template2" xfId="12499" xr:uid="{00000000-0005-0000-0000-0000BD300000}"/>
    <cellStyle name="p_DCF_VERA_Template2_Gassman Mods26" xfId="12500" xr:uid="{00000000-0005-0000-0000-0000BE300000}"/>
    <cellStyle name="p_DCF_VERA_Template2_Model_1" xfId="12501" xr:uid="{00000000-0005-0000-0000-0000BF300000}"/>
    <cellStyle name="p_DCF_VERA_Template2_Model_43.xls(New Model)" xfId="12502" xr:uid="{00000000-0005-0000-0000-0000C0300000}"/>
    <cellStyle name="p_DCF_VERA_Template2_Model112" xfId="12503" xr:uid="{00000000-0005-0000-0000-0000C1300000}"/>
    <cellStyle name="p_DCF_VERA_Template2_stupid_2" xfId="12504" xr:uid="{00000000-0005-0000-0000-0000C2300000}"/>
    <cellStyle name="p_DCF_VERA_VERA" xfId="12505" xr:uid="{00000000-0005-0000-0000-0000C3300000}"/>
    <cellStyle name="p_DCF_VERA_VERA_1" xfId="12506" xr:uid="{00000000-0005-0000-0000-0000C4300000}"/>
    <cellStyle name="p_DCF_VERA_VERA_1_Gassman Mods26" xfId="12507" xr:uid="{00000000-0005-0000-0000-0000C5300000}"/>
    <cellStyle name="p_DCF_VERA_VERA_1_Model_43.xls(New Model)" xfId="12508" xr:uid="{00000000-0005-0000-0000-0000C6300000}"/>
    <cellStyle name="p_DCF_VERA_VERA_2" xfId="12509" xr:uid="{00000000-0005-0000-0000-0000C7300000}"/>
    <cellStyle name="p_DCF_VERA_VERA_2_Gassman Mods26" xfId="12510" xr:uid="{00000000-0005-0000-0000-0000C8300000}"/>
    <cellStyle name="p_DCF_VERA_VERA_2_Model_1" xfId="12511" xr:uid="{00000000-0005-0000-0000-0000C9300000}"/>
    <cellStyle name="p_DCF_VERA_VERA_2_Model_43.xls(New Model)" xfId="12512" xr:uid="{00000000-0005-0000-0000-0000CA300000}"/>
    <cellStyle name="p_DCF_VERA_VERA_2_Model112" xfId="12513" xr:uid="{00000000-0005-0000-0000-0000CB300000}"/>
    <cellStyle name="p_DCF_VERA_VERA_2_stupid_2" xfId="12514" xr:uid="{00000000-0005-0000-0000-0000CC300000}"/>
    <cellStyle name="p_DCF_VERA_VERA_Gassman Mods26" xfId="12515" xr:uid="{00000000-0005-0000-0000-0000CD300000}"/>
    <cellStyle name="p_DCF_VERA_VERA_Model_43.xls(New Model)" xfId="12516" xr:uid="{00000000-0005-0000-0000-0000CE300000}"/>
    <cellStyle name="p_DCF_VERA_VERA_Template2" xfId="12517" xr:uid="{00000000-0005-0000-0000-0000CF300000}"/>
    <cellStyle name="p_DCF_VERA_VERA_Template2_Gassman Mods26" xfId="12518" xr:uid="{00000000-0005-0000-0000-0000D0300000}"/>
    <cellStyle name="p_DCF_VERA_VERA_Template2_Model_1" xfId="12519" xr:uid="{00000000-0005-0000-0000-0000D1300000}"/>
    <cellStyle name="p_DCF_VERA_VERA_Template2_Model_43.xls(New Model)" xfId="12520" xr:uid="{00000000-0005-0000-0000-0000D2300000}"/>
    <cellStyle name="p_DCF_VERA_VERA_Template2_Model112" xfId="12521" xr:uid="{00000000-0005-0000-0000-0000D3300000}"/>
    <cellStyle name="p_DCF_VERA_VERA_Template2_stupid_2" xfId="12522" xr:uid="{00000000-0005-0000-0000-0000D4300000}"/>
    <cellStyle name="p_DCF_VERA_Xerium Model (Dynamic)" xfId="12523" xr:uid="{00000000-0005-0000-0000-0000D5300000}"/>
    <cellStyle name="p_DCF_VERA_Xerium Model (Dynamic)_Gassman Mods26" xfId="12524" xr:uid="{00000000-0005-0000-0000-0000D6300000}"/>
    <cellStyle name="p_DCF_VERA_Xerium Model (Dynamic)_Model_1" xfId="12525" xr:uid="{00000000-0005-0000-0000-0000D7300000}"/>
    <cellStyle name="p_DCF_VERA_Xerium Model (Dynamic)_stupid_2" xfId="12526" xr:uid="{00000000-0005-0000-0000-0000D8300000}"/>
    <cellStyle name="p_DCF_Xerium Model (Dynamic)" xfId="12527" xr:uid="{00000000-0005-0000-0000-0000D9300000}"/>
    <cellStyle name="p_DCF_Xerium Model (Dynamic)_Gassman Mods26" xfId="12528" xr:uid="{00000000-0005-0000-0000-0000DA300000}"/>
    <cellStyle name="p_DCF_Xerium Model (Dynamic)_Model_1" xfId="12529" xr:uid="{00000000-0005-0000-0000-0000DB300000}"/>
    <cellStyle name="p_DCF_Xerium Model (Dynamic)_stupid_2" xfId="12530" xr:uid="{00000000-0005-0000-0000-0000DC300000}"/>
    <cellStyle name="p_DCF5" xfId="12531" xr:uid="{00000000-0005-0000-0000-0000DD300000}"/>
    <cellStyle name="p_DCF5_Model02a" xfId="12532" xr:uid="{00000000-0005-0000-0000-0000DE300000}"/>
    <cellStyle name="p_Debt_comps" xfId="12533" xr:uid="{00000000-0005-0000-0000-0000DF300000}"/>
    <cellStyle name="p_Debt_comps_comps9" xfId="12534" xr:uid="{00000000-0005-0000-0000-0000E0300000}"/>
    <cellStyle name="p_EQCOMP5" xfId="12535" xr:uid="{00000000-0005-0000-0000-0000E1300000}"/>
    <cellStyle name="p_EQCOMP5_Apax Banks Model2" xfId="12536" xr:uid="{00000000-0005-0000-0000-0000E2300000}"/>
    <cellStyle name="p_EQCOMP5_ESCOperatingModel Revised Base Case Banks 260101" xfId="12537" xr:uid="{00000000-0005-0000-0000-0000E3300000}"/>
    <cellStyle name="p_EQCOMP5_FINALGRA" xfId="12538" xr:uid="{00000000-0005-0000-0000-0000E4300000}"/>
    <cellStyle name="p_EQCOMP5_FINALGRA_Apax Banks Model2" xfId="12539" xr:uid="{00000000-0005-0000-0000-0000E5300000}"/>
    <cellStyle name="p_EQCOMP5_FINALGRA_ESCOperatingModel Revised Base Case Banks 260101" xfId="12540" xr:uid="{00000000-0005-0000-0000-0000E6300000}"/>
    <cellStyle name="p_EQCOMP5_FINALGRA_finalised and conformed model2" xfId="12541" xr:uid="{00000000-0005-0000-0000-0000E7300000}"/>
    <cellStyle name="p_EQCOMP5_FINALGRA_finalised and conformed model2_1" xfId="12542" xr:uid="{00000000-0005-0000-0000-0000E8300000}"/>
    <cellStyle name="p_EQCOMP5_FINALGRA_Gassman Mods26" xfId="12543" xr:uid="{00000000-0005-0000-0000-0000E9300000}"/>
    <cellStyle name="p_EQCOMP5_FINALGRA_Italian model9" xfId="12544" xr:uid="{00000000-0005-0000-0000-0000EA300000}"/>
    <cellStyle name="p_EQCOMP5_FINALGRA_LTM Analysis" xfId="12545" xr:uid="{00000000-0005-0000-0000-0000EB300000}"/>
    <cellStyle name="p_EQCOMP5_FINALGRA_Model_1" xfId="12546" xr:uid="{00000000-0005-0000-0000-0000EC300000}"/>
    <cellStyle name="p_EQCOMP5_FINALGRA_model11.xls Chart 1" xfId="12547" xr:uid="{00000000-0005-0000-0000-0000ED300000}"/>
    <cellStyle name="p_EQCOMP5_FINALGRA_model28" xfId="12548" xr:uid="{00000000-0005-0000-0000-0000EE300000}"/>
    <cellStyle name="p_EQCOMP5_FINALGRA_model5.xls Chart 1" xfId="12549" xr:uid="{00000000-0005-0000-0000-0000EF300000}"/>
    <cellStyle name="p_EQCOMP5_FINALGRA_model6.xls Chart 1" xfId="12550" xr:uid="{00000000-0005-0000-0000-0000F0300000}"/>
    <cellStyle name="p_EQCOMP5_FINALGRA_PwC (Version 10) Revised- CP site by site1" xfId="12551" xr:uid="{00000000-0005-0000-0000-0000F1300000}"/>
    <cellStyle name="p_EQCOMP5_FINALGRA_PwC (Version 10) Revised- CP site by site1_finalised and conformed model2" xfId="12552" xr:uid="{00000000-0005-0000-0000-0000F2300000}"/>
    <cellStyle name="p_EQCOMP5_FINALGRA_PwC (Version 10) Revised- CP site by site1_Gassman Mods26" xfId="12553" xr:uid="{00000000-0005-0000-0000-0000F3300000}"/>
    <cellStyle name="p_EQCOMP5_FINALGRA_PwC (Version 10) Revised- CP site by site1_Italian model9" xfId="12554" xr:uid="{00000000-0005-0000-0000-0000F4300000}"/>
    <cellStyle name="p_EQCOMP5_FINALGRA_PwC (Version 10) Revised- CP site by site1_LTM Analysis" xfId="12555" xr:uid="{00000000-0005-0000-0000-0000F5300000}"/>
    <cellStyle name="p_EQCOMP5_FINALGRA_PwC (Version 10) Revised- CP site by site1_Modefuckup" xfId="12556" xr:uid="{00000000-0005-0000-0000-0000F6300000}"/>
    <cellStyle name="p_EQCOMP5_FINALGRA_PwC (Version 10) Revised- CP site by site1_Model_1" xfId="12557" xr:uid="{00000000-0005-0000-0000-0000F7300000}"/>
    <cellStyle name="p_EQCOMP5_FINALGRA_PwC (Version 10) Revised- CP site by site1_model28" xfId="12558" xr:uid="{00000000-0005-0000-0000-0000F8300000}"/>
    <cellStyle name="p_EQCOMP5_FINALGRA_PwC (Version 10) Revised- CP site by site1_stupid_2" xfId="12559" xr:uid="{00000000-0005-0000-0000-0000F9300000}"/>
    <cellStyle name="p_EQCOMP5_FINALGRA_splash mod 050700" xfId="12560" xr:uid="{00000000-0005-0000-0000-0000FA300000}"/>
    <cellStyle name="p_EQCOMP5_FINALGRA_stupid_2" xfId="12561" xr:uid="{00000000-0005-0000-0000-0000FB300000}"/>
    <cellStyle name="p_EQCOMP5_Gassman Mods26" xfId="12562" xr:uid="{00000000-0005-0000-0000-0000FC300000}"/>
    <cellStyle name="p_EQCOMP5_Model_1" xfId="12563" xr:uid="{00000000-0005-0000-0000-0000FD300000}"/>
    <cellStyle name="p_EQCOMP5_model11.xls Chart 1" xfId="12564" xr:uid="{00000000-0005-0000-0000-0000FE300000}"/>
    <cellStyle name="p_EQCOMP5_Model3" xfId="12565" xr:uid="{00000000-0005-0000-0000-0000FF300000}"/>
    <cellStyle name="p_EQCOMP5_Model3_Gassman Mods26" xfId="12566" xr:uid="{00000000-0005-0000-0000-000000310000}"/>
    <cellStyle name="p_EQCOMP5_Model3_Model_1" xfId="12567" xr:uid="{00000000-0005-0000-0000-000001310000}"/>
    <cellStyle name="p_EQCOMP5_Model3_stupid_2" xfId="12568" xr:uid="{00000000-0005-0000-0000-000002310000}"/>
    <cellStyle name="p_EQCOMP5_model5.xls Chart 1" xfId="12569" xr:uid="{00000000-0005-0000-0000-000003310000}"/>
    <cellStyle name="p_EQCOMP5_model6.xls Chart 1" xfId="12570" xr:uid="{00000000-0005-0000-0000-000004310000}"/>
    <cellStyle name="p_EQCOMP5_MODEL8" xfId="12571" xr:uid="{00000000-0005-0000-0000-000005310000}"/>
    <cellStyle name="p_EQCOMP5_MODEL8_Apax Banks Model2" xfId="12572" xr:uid="{00000000-0005-0000-0000-000006310000}"/>
    <cellStyle name="p_EQCOMP5_MODEL8_ESCOperatingModel Revised Base Case Banks 260101" xfId="12573" xr:uid="{00000000-0005-0000-0000-000007310000}"/>
    <cellStyle name="p_EQCOMP5_MODEL8_finalised and conformed model2" xfId="12574" xr:uid="{00000000-0005-0000-0000-000008310000}"/>
    <cellStyle name="p_EQCOMP5_MODEL8_Gassman Mods26" xfId="12575" xr:uid="{00000000-0005-0000-0000-000009310000}"/>
    <cellStyle name="p_EQCOMP5_MODEL8_Italian model9" xfId="12576" xr:uid="{00000000-0005-0000-0000-00000A310000}"/>
    <cellStyle name="p_EQCOMP5_MODEL8_LTM Analysis" xfId="12577" xr:uid="{00000000-0005-0000-0000-00000B310000}"/>
    <cellStyle name="p_EQCOMP5_MODEL8_Model_1" xfId="12578" xr:uid="{00000000-0005-0000-0000-00000C310000}"/>
    <cellStyle name="p_EQCOMP5_MODEL8_Model_9" xfId="12579" xr:uid="{00000000-0005-0000-0000-00000D310000}"/>
    <cellStyle name="p_EQCOMP5_MODEL8_model11.xls Chart 1" xfId="12580" xr:uid="{00000000-0005-0000-0000-00000E310000}"/>
    <cellStyle name="p_EQCOMP5_MODEL8_model28" xfId="12581" xr:uid="{00000000-0005-0000-0000-00000F310000}"/>
    <cellStyle name="p_EQCOMP5_MODEL8_model5.xls Chart 1" xfId="12582" xr:uid="{00000000-0005-0000-0000-000010310000}"/>
    <cellStyle name="p_EQCOMP5_MODEL8_model6.xls Chart 1" xfId="12583" xr:uid="{00000000-0005-0000-0000-000011310000}"/>
    <cellStyle name="p_EQCOMP5_MODEL8_Newmodel12" xfId="12584" xr:uid="{00000000-0005-0000-0000-000012310000}"/>
    <cellStyle name="p_EQCOMP5_MODEL8_PwC (Version 10) Revised- CP site by site1" xfId="12585" xr:uid="{00000000-0005-0000-0000-000013310000}"/>
    <cellStyle name="p_EQCOMP5_MODEL8_PwC (Version 10) Revised- CP site by site1_finalised and conformed model2" xfId="12586" xr:uid="{00000000-0005-0000-0000-000014310000}"/>
    <cellStyle name="p_EQCOMP5_MODEL8_PwC (Version 10) Revised- CP site by site1_Gassman Mods26" xfId="12587" xr:uid="{00000000-0005-0000-0000-000015310000}"/>
    <cellStyle name="p_EQCOMP5_MODEL8_PwC (Version 10) Revised- CP site by site1_Italian model9" xfId="12588" xr:uid="{00000000-0005-0000-0000-000016310000}"/>
    <cellStyle name="p_EQCOMP5_MODEL8_PwC (Version 10) Revised- CP site by site1_LTM Analysis" xfId="12589" xr:uid="{00000000-0005-0000-0000-000017310000}"/>
    <cellStyle name="p_EQCOMP5_MODEL8_PwC (Version 10) Revised- CP site by site1_Model_1" xfId="12590" xr:uid="{00000000-0005-0000-0000-000018310000}"/>
    <cellStyle name="p_EQCOMP5_MODEL8_PwC (Version 10) Revised- CP site by site1_model28" xfId="12591" xr:uid="{00000000-0005-0000-0000-000019310000}"/>
    <cellStyle name="p_EQCOMP5_MODEL8_PwC (Version 10) Revised- CP site by site1_stupid_2" xfId="12592" xr:uid="{00000000-0005-0000-0000-00001A310000}"/>
    <cellStyle name="p_EQCOMP5_MODEL8_splash mod 050700" xfId="12593" xr:uid="{00000000-0005-0000-0000-00001B310000}"/>
    <cellStyle name="p_EQCOMP5_MODEL8_stupid_2" xfId="12594" xr:uid="{00000000-0005-0000-0000-00001C310000}"/>
    <cellStyle name="p_EQCOMP5_PwC (Version 10) Revised- CP site by site1" xfId="12595" xr:uid="{00000000-0005-0000-0000-00001D310000}"/>
    <cellStyle name="p_EQCOMP5_PwC (Version 10) Revised- CP site by site1_finalised and conformed model2" xfId="12596" xr:uid="{00000000-0005-0000-0000-00001E310000}"/>
    <cellStyle name="p_EQCOMP5_PwC (Version 10) Revised- CP site by site1_finalised and conformed model2_1" xfId="12597" xr:uid="{00000000-0005-0000-0000-00001F310000}"/>
    <cellStyle name="p_EQCOMP5_PwC (Version 10) Revised- CP site by site1_Gassman Mods26" xfId="12598" xr:uid="{00000000-0005-0000-0000-000020310000}"/>
    <cellStyle name="p_EQCOMP5_PwC (Version 10) Revised- CP site by site1_Italian model9" xfId="12599" xr:uid="{00000000-0005-0000-0000-000021310000}"/>
    <cellStyle name="p_EQCOMP5_PwC (Version 10) Revised- CP site by site1_LTM Analysis" xfId="12600" xr:uid="{00000000-0005-0000-0000-000022310000}"/>
    <cellStyle name="p_EQCOMP5_PwC (Version 10) Revised- CP site by site1_Model_1" xfId="12601" xr:uid="{00000000-0005-0000-0000-000023310000}"/>
    <cellStyle name="p_EQCOMP5_PwC (Version 10) Revised- CP site by site1_model28" xfId="12602" xr:uid="{00000000-0005-0000-0000-000024310000}"/>
    <cellStyle name="p_EQCOMP5_PwC (Version 10) Revised- CP site by site1_stupid_2" xfId="12603" xr:uid="{00000000-0005-0000-0000-000025310000}"/>
    <cellStyle name="p_EQCOMP5_PwC (Version 7) Revised- CP site by site" xfId="12604" xr:uid="{00000000-0005-0000-0000-000026310000}"/>
    <cellStyle name="p_EQCOMP5_splash mod 050700" xfId="12605" xr:uid="{00000000-0005-0000-0000-000027310000}"/>
    <cellStyle name="p_EQCOMP5_stupid_2" xfId="12606" xr:uid="{00000000-0005-0000-0000-000028310000}"/>
    <cellStyle name="p_EQCOMP5_tables2" xfId="12607" xr:uid="{00000000-0005-0000-0000-000029310000}"/>
    <cellStyle name="p_EQCOMP5_tables2_Apax Banks Model2" xfId="12608" xr:uid="{00000000-0005-0000-0000-00002A310000}"/>
    <cellStyle name="p_EQCOMP5_tables2_ESCOperatingModel Revised Base Case Banks 260101" xfId="12609" xr:uid="{00000000-0005-0000-0000-00002B310000}"/>
    <cellStyle name="p_EQCOMP5_tables2_finalised and conformed model2" xfId="12610" xr:uid="{00000000-0005-0000-0000-00002C310000}"/>
    <cellStyle name="p_EQCOMP5_tables2_finalised and conformed model2_1" xfId="12611" xr:uid="{00000000-0005-0000-0000-00002D310000}"/>
    <cellStyle name="p_EQCOMP5_tables2_Gassman Mods26" xfId="12612" xr:uid="{00000000-0005-0000-0000-00002E310000}"/>
    <cellStyle name="p_EQCOMP5_tables2_Italian model9" xfId="12613" xr:uid="{00000000-0005-0000-0000-00002F310000}"/>
    <cellStyle name="p_EQCOMP5_tables2_LTM Analysis" xfId="12614" xr:uid="{00000000-0005-0000-0000-000030310000}"/>
    <cellStyle name="p_EQCOMP5_tables2_Model_1" xfId="12615" xr:uid="{00000000-0005-0000-0000-000031310000}"/>
    <cellStyle name="p_EQCOMP5_tables2_model11.xls Chart 1" xfId="12616" xr:uid="{00000000-0005-0000-0000-000032310000}"/>
    <cellStyle name="p_EQCOMP5_tables2_model28" xfId="12617" xr:uid="{00000000-0005-0000-0000-000033310000}"/>
    <cellStyle name="p_EQCOMP5_tables2_model5.xls Chart 1" xfId="12618" xr:uid="{00000000-0005-0000-0000-000034310000}"/>
    <cellStyle name="p_EQCOMP5_tables2_model6.xls Chart 1" xfId="12619" xr:uid="{00000000-0005-0000-0000-000035310000}"/>
    <cellStyle name="p_EQCOMP5_tables2_PwC (Version 10) Revised- CP site by site1" xfId="12620" xr:uid="{00000000-0005-0000-0000-000036310000}"/>
    <cellStyle name="p_EQCOMP5_tables2_PwC (Version 10) Revised- CP site by site1_finalised and conformed model2" xfId="12621" xr:uid="{00000000-0005-0000-0000-000037310000}"/>
    <cellStyle name="p_EQCOMP5_tables2_PwC (Version 10) Revised- CP site by site1_Gassman Mods26" xfId="12622" xr:uid="{00000000-0005-0000-0000-000038310000}"/>
    <cellStyle name="p_EQCOMP5_tables2_PwC (Version 10) Revised- CP site by site1_Italian model9" xfId="12623" xr:uid="{00000000-0005-0000-0000-000039310000}"/>
    <cellStyle name="p_EQCOMP5_tables2_PwC (Version 10) Revised- CP site by site1_LTM Analysis" xfId="12624" xr:uid="{00000000-0005-0000-0000-00003A310000}"/>
    <cellStyle name="p_EQCOMP5_tables2_PwC (Version 10) Revised- CP site by site1_Modefuckup" xfId="12625" xr:uid="{00000000-0005-0000-0000-00003B310000}"/>
    <cellStyle name="p_EQCOMP5_tables2_PwC (Version 10) Revised- CP site by site1_Model_1" xfId="12626" xr:uid="{00000000-0005-0000-0000-00003C310000}"/>
    <cellStyle name="p_EQCOMP5_tables2_PwC (Version 10) Revised- CP site by site1_model28" xfId="12627" xr:uid="{00000000-0005-0000-0000-00003D310000}"/>
    <cellStyle name="p_EQCOMP5_tables2_PwC (Version 10) Revised- CP site by site1_stupid_2" xfId="12628" xr:uid="{00000000-0005-0000-0000-00003E310000}"/>
    <cellStyle name="p_EQCOMP5_tables2_splash mod 050700" xfId="12629" xr:uid="{00000000-0005-0000-0000-00003F310000}"/>
    <cellStyle name="p_EQCOMP5_tables2_stupid_2" xfId="12630" xr:uid="{00000000-0005-0000-0000-000040310000}"/>
    <cellStyle name="p_Equity Comps" xfId="12631" xr:uid="{00000000-0005-0000-0000-000041310000}"/>
    <cellStyle name="p_Equity Comps_comps9" xfId="12632" xr:uid="{00000000-0005-0000-0000-000042310000}"/>
    <cellStyle name="p_ES061199" xfId="12633" xr:uid="{00000000-0005-0000-0000-000043310000}"/>
    <cellStyle name="p_Financial Model Quarry 10.17.05 - MASTER (NUE)v5" xfId="12634" xr:uid="{00000000-0005-0000-0000-000044310000}"/>
    <cellStyle name="p_g_mod11" xfId="12635" xr:uid="{00000000-0005-0000-0000-000045310000}"/>
    <cellStyle name="P_hc_valuation_dcf_v1" xfId="12636" xr:uid="{00000000-0005-0000-0000-000046310000}"/>
    <cellStyle name="P_hc_valuation_dcf_v1_~7576084" xfId="12637" xr:uid="{00000000-0005-0000-0000-000047310000}"/>
    <cellStyle name="p_HISTFIN" xfId="12638" xr:uid="{00000000-0005-0000-0000-000048310000}"/>
    <cellStyle name="p_HYCOMPS5" xfId="12639" xr:uid="{00000000-0005-0000-0000-000049310000}"/>
    <cellStyle name="p_HYCOMPS5_Apax Banks Model2" xfId="12640" xr:uid="{00000000-0005-0000-0000-00004A310000}"/>
    <cellStyle name="p_HYCOMPS5_ESCOperatingModel Revised Base Case Banks 260101" xfId="12641" xr:uid="{00000000-0005-0000-0000-00004B310000}"/>
    <cellStyle name="p_HYCOMPS5_FINALGRA" xfId="12642" xr:uid="{00000000-0005-0000-0000-00004C310000}"/>
    <cellStyle name="p_HYCOMPS5_FINALGRA_Apax Banks Model2" xfId="12643" xr:uid="{00000000-0005-0000-0000-00004D310000}"/>
    <cellStyle name="p_HYCOMPS5_FINALGRA_ESCOperatingModel Revised Base Case Banks 260101" xfId="12644" xr:uid="{00000000-0005-0000-0000-00004E310000}"/>
    <cellStyle name="p_HYCOMPS5_FINALGRA_finalised and conformed model2" xfId="12645" xr:uid="{00000000-0005-0000-0000-00004F310000}"/>
    <cellStyle name="p_HYCOMPS5_FINALGRA_finalised and conformed model2_1" xfId="12646" xr:uid="{00000000-0005-0000-0000-000050310000}"/>
    <cellStyle name="p_HYCOMPS5_FINALGRA_Gassman Mods26" xfId="12647" xr:uid="{00000000-0005-0000-0000-000051310000}"/>
    <cellStyle name="p_HYCOMPS5_FINALGRA_Italian model9" xfId="12648" xr:uid="{00000000-0005-0000-0000-000052310000}"/>
    <cellStyle name="p_HYCOMPS5_FINALGRA_LTM Analysis" xfId="12649" xr:uid="{00000000-0005-0000-0000-000053310000}"/>
    <cellStyle name="p_HYCOMPS5_FINALGRA_Model_1" xfId="12650" xr:uid="{00000000-0005-0000-0000-000054310000}"/>
    <cellStyle name="p_HYCOMPS5_FINALGRA_model11.xls Chart 1" xfId="12651" xr:uid="{00000000-0005-0000-0000-000055310000}"/>
    <cellStyle name="p_HYCOMPS5_FINALGRA_model28" xfId="12652" xr:uid="{00000000-0005-0000-0000-000056310000}"/>
    <cellStyle name="p_HYCOMPS5_FINALGRA_model5.xls Chart 1" xfId="12653" xr:uid="{00000000-0005-0000-0000-000057310000}"/>
    <cellStyle name="p_HYCOMPS5_FINALGRA_model6.xls Chart 1" xfId="12654" xr:uid="{00000000-0005-0000-0000-000058310000}"/>
    <cellStyle name="p_HYCOMPS5_FINALGRA_PwC (Version 10) Revised- CP site by site1" xfId="12655" xr:uid="{00000000-0005-0000-0000-000059310000}"/>
    <cellStyle name="p_HYCOMPS5_FINALGRA_PwC (Version 10) Revised- CP site by site1_finalised and conformed model2" xfId="12656" xr:uid="{00000000-0005-0000-0000-00005A310000}"/>
    <cellStyle name="p_HYCOMPS5_FINALGRA_PwC (Version 10) Revised- CP site by site1_Gassman Mods26" xfId="12657" xr:uid="{00000000-0005-0000-0000-00005B310000}"/>
    <cellStyle name="p_HYCOMPS5_FINALGRA_PwC (Version 10) Revised- CP site by site1_Italian model9" xfId="12658" xr:uid="{00000000-0005-0000-0000-00005C310000}"/>
    <cellStyle name="p_HYCOMPS5_FINALGRA_PwC (Version 10) Revised- CP site by site1_LTM Analysis" xfId="12659" xr:uid="{00000000-0005-0000-0000-00005D310000}"/>
    <cellStyle name="p_HYCOMPS5_FINALGRA_PwC (Version 10) Revised- CP site by site1_Modefuckup" xfId="12660" xr:uid="{00000000-0005-0000-0000-00005E310000}"/>
    <cellStyle name="p_HYCOMPS5_FINALGRA_PwC (Version 10) Revised- CP site by site1_Model_1" xfId="12661" xr:uid="{00000000-0005-0000-0000-00005F310000}"/>
    <cellStyle name="p_HYCOMPS5_FINALGRA_PwC (Version 10) Revised- CP site by site1_model28" xfId="12662" xr:uid="{00000000-0005-0000-0000-000060310000}"/>
    <cellStyle name="p_HYCOMPS5_FINALGRA_PwC (Version 10) Revised- CP site by site1_stupid_2" xfId="12663" xr:uid="{00000000-0005-0000-0000-000061310000}"/>
    <cellStyle name="p_HYCOMPS5_FINALGRA_splash mod 050700" xfId="12664" xr:uid="{00000000-0005-0000-0000-000062310000}"/>
    <cellStyle name="p_HYCOMPS5_FINALGRA_stupid_2" xfId="12665" xr:uid="{00000000-0005-0000-0000-000063310000}"/>
    <cellStyle name="p_HYCOMPS5_Gassman Mods26" xfId="12666" xr:uid="{00000000-0005-0000-0000-000064310000}"/>
    <cellStyle name="p_HYCOMPS5_Model_1" xfId="12667" xr:uid="{00000000-0005-0000-0000-000065310000}"/>
    <cellStyle name="p_HYCOMPS5_model11.xls Chart 1" xfId="12668" xr:uid="{00000000-0005-0000-0000-000066310000}"/>
    <cellStyle name="p_HYCOMPS5_Model3" xfId="12669" xr:uid="{00000000-0005-0000-0000-000067310000}"/>
    <cellStyle name="p_HYCOMPS5_Model3_Gassman Mods26" xfId="12670" xr:uid="{00000000-0005-0000-0000-000068310000}"/>
    <cellStyle name="p_HYCOMPS5_Model3_Model_1" xfId="12671" xr:uid="{00000000-0005-0000-0000-000069310000}"/>
    <cellStyle name="p_HYCOMPS5_Model3_stupid_2" xfId="12672" xr:uid="{00000000-0005-0000-0000-00006A310000}"/>
    <cellStyle name="p_HYCOMPS5_model5.xls Chart 1" xfId="12673" xr:uid="{00000000-0005-0000-0000-00006B310000}"/>
    <cellStyle name="p_HYCOMPS5_model6.xls Chart 1" xfId="12674" xr:uid="{00000000-0005-0000-0000-00006C310000}"/>
    <cellStyle name="p_HYCOMPS5_MODEL8" xfId="12675" xr:uid="{00000000-0005-0000-0000-00006D310000}"/>
    <cellStyle name="p_HYCOMPS5_MODEL8_Apax Banks Model2" xfId="12676" xr:uid="{00000000-0005-0000-0000-00006E310000}"/>
    <cellStyle name="p_HYCOMPS5_MODEL8_ESCOperatingModel Revised Base Case Banks 260101" xfId="12677" xr:uid="{00000000-0005-0000-0000-00006F310000}"/>
    <cellStyle name="p_HYCOMPS5_MODEL8_finalised and conformed model2" xfId="12678" xr:uid="{00000000-0005-0000-0000-000070310000}"/>
    <cellStyle name="p_HYCOMPS5_MODEL8_Gassman Mods26" xfId="12679" xr:uid="{00000000-0005-0000-0000-000071310000}"/>
    <cellStyle name="p_HYCOMPS5_MODEL8_Italian model9" xfId="12680" xr:uid="{00000000-0005-0000-0000-000072310000}"/>
    <cellStyle name="p_HYCOMPS5_MODEL8_LTM Analysis" xfId="12681" xr:uid="{00000000-0005-0000-0000-000073310000}"/>
    <cellStyle name="p_HYCOMPS5_MODEL8_Model_1" xfId="12682" xr:uid="{00000000-0005-0000-0000-000074310000}"/>
    <cellStyle name="p_HYCOMPS5_MODEL8_Model_9" xfId="12683" xr:uid="{00000000-0005-0000-0000-000075310000}"/>
    <cellStyle name="p_HYCOMPS5_MODEL8_model11.xls Chart 1" xfId="12684" xr:uid="{00000000-0005-0000-0000-000076310000}"/>
    <cellStyle name="p_HYCOMPS5_MODEL8_model28" xfId="12685" xr:uid="{00000000-0005-0000-0000-000077310000}"/>
    <cellStyle name="p_HYCOMPS5_MODEL8_model5.xls Chart 1" xfId="12686" xr:uid="{00000000-0005-0000-0000-000078310000}"/>
    <cellStyle name="p_HYCOMPS5_MODEL8_model6.xls Chart 1" xfId="12687" xr:uid="{00000000-0005-0000-0000-000079310000}"/>
    <cellStyle name="p_HYCOMPS5_MODEL8_Newmodel12" xfId="12688" xr:uid="{00000000-0005-0000-0000-00007A310000}"/>
    <cellStyle name="p_HYCOMPS5_MODEL8_PwC (Version 10) Revised- CP site by site1" xfId="12689" xr:uid="{00000000-0005-0000-0000-00007B310000}"/>
    <cellStyle name="p_HYCOMPS5_MODEL8_PwC (Version 10) Revised- CP site by site1_finalised and conformed model2" xfId="12690" xr:uid="{00000000-0005-0000-0000-00007C310000}"/>
    <cellStyle name="p_HYCOMPS5_MODEL8_PwC (Version 10) Revised- CP site by site1_Gassman Mods26" xfId="12691" xr:uid="{00000000-0005-0000-0000-00007D310000}"/>
    <cellStyle name="p_HYCOMPS5_MODEL8_PwC (Version 10) Revised- CP site by site1_Italian model9" xfId="12692" xr:uid="{00000000-0005-0000-0000-00007E310000}"/>
    <cellStyle name="p_HYCOMPS5_MODEL8_PwC (Version 10) Revised- CP site by site1_LTM Analysis" xfId="12693" xr:uid="{00000000-0005-0000-0000-00007F310000}"/>
    <cellStyle name="p_HYCOMPS5_MODEL8_PwC (Version 10) Revised- CP site by site1_Model_1" xfId="12694" xr:uid="{00000000-0005-0000-0000-000080310000}"/>
    <cellStyle name="p_HYCOMPS5_MODEL8_PwC (Version 10) Revised- CP site by site1_model28" xfId="12695" xr:uid="{00000000-0005-0000-0000-000081310000}"/>
    <cellStyle name="p_HYCOMPS5_MODEL8_PwC (Version 10) Revised- CP site by site1_stupid_2" xfId="12696" xr:uid="{00000000-0005-0000-0000-000082310000}"/>
    <cellStyle name="p_HYCOMPS5_MODEL8_splash mod 050700" xfId="12697" xr:uid="{00000000-0005-0000-0000-000083310000}"/>
    <cellStyle name="p_HYCOMPS5_MODEL8_stupid_2" xfId="12698" xr:uid="{00000000-0005-0000-0000-000084310000}"/>
    <cellStyle name="p_HYCOMPS5_PwC (Version 10) Revised- CP site by site1" xfId="12699" xr:uid="{00000000-0005-0000-0000-000085310000}"/>
    <cellStyle name="p_HYCOMPS5_PwC (Version 10) Revised- CP site by site1_finalised and conformed model2" xfId="12700" xr:uid="{00000000-0005-0000-0000-000086310000}"/>
    <cellStyle name="p_HYCOMPS5_PwC (Version 10) Revised- CP site by site1_finalised and conformed model2_1" xfId="12701" xr:uid="{00000000-0005-0000-0000-000087310000}"/>
    <cellStyle name="p_HYCOMPS5_PwC (Version 10) Revised- CP site by site1_Gassman Mods26" xfId="12702" xr:uid="{00000000-0005-0000-0000-000088310000}"/>
    <cellStyle name="p_HYCOMPS5_PwC (Version 10) Revised- CP site by site1_Italian model9" xfId="12703" xr:uid="{00000000-0005-0000-0000-000089310000}"/>
    <cellStyle name="p_HYCOMPS5_PwC (Version 10) Revised- CP site by site1_LTM Analysis" xfId="12704" xr:uid="{00000000-0005-0000-0000-00008A310000}"/>
    <cellStyle name="p_HYCOMPS5_PwC (Version 10) Revised- CP site by site1_Model_1" xfId="12705" xr:uid="{00000000-0005-0000-0000-00008B310000}"/>
    <cellStyle name="p_HYCOMPS5_PwC (Version 10) Revised- CP site by site1_model28" xfId="12706" xr:uid="{00000000-0005-0000-0000-00008C310000}"/>
    <cellStyle name="p_HYCOMPS5_PwC (Version 10) Revised- CP site by site1_stupid_2" xfId="12707" xr:uid="{00000000-0005-0000-0000-00008D310000}"/>
    <cellStyle name="p_HYCOMPS5_PwC (Version 7) Revised- CP site by site" xfId="12708" xr:uid="{00000000-0005-0000-0000-00008E310000}"/>
    <cellStyle name="p_HYCOMPS5_splash mod 050700" xfId="12709" xr:uid="{00000000-0005-0000-0000-00008F310000}"/>
    <cellStyle name="p_HYCOMPS5_stupid_2" xfId="12710" xr:uid="{00000000-0005-0000-0000-000090310000}"/>
    <cellStyle name="p_HYCOMPS5_tables2" xfId="12711" xr:uid="{00000000-0005-0000-0000-000091310000}"/>
    <cellStyle name="p_HYCOMPS5_tables2_Apax Banks Model2" xfId="12712" xr:uid="{00000000-0005-0000-0000-000092310000}"/>
    <cellStyle name="p_HYCOMPS5_tables2_ESCOperatingModel Revised Base Case Banks 260101" xfId="12713" xr:uid="{00000000-0005-0000-0000-000093310000}"/>
    <cellStyle name="p_HYCOMPS5_tables2_finalised and conformed model2" xfId="12714" xr:uid="{00000000-0005-0000-0000-000094310000}"/>
    <cellStyle name="p_HYCOMPS5_tables2_finalised and conformed model2_1" xfId="12715" xr:uid="{00000000-0005-0000-0000-000095310000}"/>
    <cellStyle name="p_HYCOMPS5_tables2_Gassman Mods26" xfId="12716" xr:uid="{00000000-0005-0000-0000-000096310000}"/>
    <cellStyle name="p_HYCOMPS5_tables2_Italian model9" xfId="12717" xr:uid="{00000000-0005-0000-0000-000097310000}"/>
    <cellStyle name="p_HYCOMPS5_tables2_LTM Analysis" xfId="12718" xr:uid="{00000000-0005-0000-0000-000098310000}"/>
    <cellStyle name="p_HYCOMPS5_tables2_Model_1" xfId="12719" xr:uid="{00000000-0005-0000-0000-000099310000}"/>
    <cellStyle name="p_HYCOMPS5_tables2_model11.xls Chart 1" xfId="12720" xr:uid="{00000000-0005-0000-0000-00009A310000}"/>
    <cellStyle name="p_HYCOMPS5_tables2_model28" xfId="12721" xr:uid="{00000000-0005-0000-0000-00009B310000}"/>
    <cellStyle name="p_HYCOMPS5_tables2_model5.xls Chart 1" xfId="12722" xr:uid="{00000000-0005-0000-0000-00009C310000}"/>
    <cellStyle name="p_HYCOMPS5_tables2_model6.xls Chart 1" xfId="12723" xr:uid="{00000000-0005-0000-0000-00009D310000}"/>
    <cellStyle name="p_HYCOMPS5_tables2_PwC (Version 10) Revised- CP site by site1" xfId="12724" xr:uid="{00000000-0005-0000-0000-00009E310000}"/>
    <cellStyle name="p_HYCOMPS5_tables2_PwC (Version 10) Revised- CP site by site1_finalised and conformed model2" xfId="12725" xr:uid="{00000000-0005-0000-0000-00009F310000}"/>
    <cellStyle name="p_HYCOMPS5_tables2_PwC (Version 10) Revised- CP site by site1_Gassman Mods26" xfId="12726" xr:uid="{00000000-0005-0000-0000-0000A0310000}"/>
    <cellStyle name="p_HYCOMPS5_tables2_PwC (Version 10) Revised- CP site by site1_Italian model9" xfId="12727" xr:uid="{00000000-0005-0000-0000-0000A1310000}"/>
    <cellStyle name="p_HYCOMPS5_tables2_PwC (Version 10) Revised- CP site by site1_LTM Analysis" xfId="12728" xr:uid="{00000000-0005-0000-0000-0000A2310000}"/>
    <cellStyle name="p_HYCOMPS5_tables2_PwC (Version 10) Revised- CP site by site1_Modefuckup" xfId="12729" xr:uid="{00000000-0005-0000-0000-0000A3310000}"/>
    <cellStyle name="p_HYCOMPS5_tables2_PwC (Version 10) Revised- CP site by site1_Model_1" xfId="12730" xr:uid="{00000000-0005-0000-0000-0000A4310000}"/>
    <cellStyle name="p_HYCOMPS5_tables2_PwC (Version 10) Revised- CP site by site1_model28" xfId="12731" xr:uid="{00000000-0005-0000-0000-0000A5310000}"/>
    <cellStyle name="p_HYCOMPS5_tables2_PwC (Version 10) Revised- CP site by site1_stupid_2" xfId="12732" xr:uid="{00000000-0005-0000-0000-0000A6310000}"/>
    <cellStyle name="p_HYCOMPS5_tables2_splash mod 050700" xfId="12733" xr:uid="{00000000-0005-0000-0000-0000A7310000}"/>
    <cellStyle name="p_HYCOMPS5_tables2_stupid_2" xfId="12734" xr:uid="{00000000-0005-0000-0000-0000A8310000}"/>
    <cellStyle name="p_JP061799" xfId="12735" xr:uid="{00000000-0005-0000-0000-0000A9310000}"/>
    <cellStyle name="p_LN031801" xfId="12736" xr:uid="{00000000-0005-0000-0000-0000AA310000}"/>
    <cellStyle name="p_M&amp;A" xfId="12737" xr:uid="{00000000-0005-0000-0000-0000AB310000}"/>
    <cellStyle name="p_Model 51 Bank Book" xfId="12738" xr:uid="{00000000-0005-0000-0000-0000AC310000}"/>
    <cellStyle name="p_Model_1" xfId="12739" xr:uid="{00000000-0005-0000-0000-0000AD310000}"/>
    <cellStyle name="p_Model_43.xls(New Model)" xfId="12740" xr:uid="{00000000-0005-0000-0000-0000AE310000}"/>
    <cellStyle name="p_MODEL1" xfId="12741" xr:uid="{00000000-0005-0000-0000-0000AF310000}"/>
    <cellStyle name="p_model18" xfId="12742" xr:uid="{00000000-0005-0000-0000-0000B0310000}"/>
    <cellStyle name="p_Model28.xls Chart 1" xfId="12743" xr:uid="{00000000-0005-0000-0000-0000B1310000}"/>
    <cellStyle name="p_Model28.xls Chart 2" xfId="12744" xr:uid="{00000000-0005-0000-0000-0000B2310000}"/>
    <cellStyle name="p_Model3" xfId="12745" xr:uid="{00000000-0005-0000-0000-0000B3310000}"/>
    <cellStyle name="p_Model3_Gassman Mods26" xfId="12746" xr:uid="{00000000-0005-0000-0000-0000B4310000}"/>
    <cellStyle name="p_Model3_Model_1" xfId="12747" xr:uid="{00000000-0005-0000-0000-0000B5310000}"/>
    <cellStyle name="p_Model3_stupid_2" xfId="12748" xr:uid="{00000000-0005-0000-0000-0000B6310000}"/>
    <cellStyle name="p_Model37" xfId="12749" xr:uid="{00000000-0005-0000-0000-0000B7310000}"/>
    <cellStyle name="p_Model37_Book3" xfId="12750" xr:uid="{00000000-0005-0000-0000-0000B8310000}"/>
    <cellStyle name="p_Model37_Gassman Mods26" xfId="12751" xr:uid="{00000000-0005-0000-0000-0000B9310000}"/>
    <cellStyle name="p_Model37_Model_1" xfId="12752" xr:uid="{00000000-0005-0000-0000-0000BA310000}"/>
    <cellStyle name="p_Model37_stupid_2" xfId="12753" xr:uid="{00000000-0005-0000-0000-0000BB310000}"/>
    <cellStyle name="p_ModelwVan31" xfId="12754" xr:uid="{00000000-0005-0000-0000-0000BC310000}"/>
    <cellStyle name="p_ModelwVan31_1" xfId="12755" xr:uid="{00000000-0005-0000-0000-0000BD310000}"/>
    <cellStyle name="p_ModelwVan31_1_stupid_2" xfId="12756" xr:uid="{00000000-0005-0000-0000-0000BE310000}"/>
    <cellStyle name="p_NEWMOD5" xfId="12757" xr:uid="{00000000-0005-0000-0000-0000BF310000}"/>
    <cellStyle name="p_NEWMOD5_finalised and conformed model2" xfId="12758" xr:uid="{00000000-0005-0000-0000-0000C0310000}"/>
    <cellStyle name="p_NEWMOD5_Gassman Mods26" xfId="12759" xr:uid="{00000000-0005-0000-0000-0000C1310000}"/>
    <cellStyle name="p_NEWMOD5_Italian model9" xfId="12760" xr:uid="{00000000-0005-0000-0000-0000C2310000}"/>
    <cellStyle name="p_NEWMOD5_LTM Analysis" xfId="12761" xr:uid="{00000000-0005-0000-0000-0000C3310000}"/>
    <cellStyle name="p_NEWMOD5_Model_1" xfId="12762" xr:uid="{00000000-0005-0000-0000-0000C4310000}"/>
    <cellStyle name="p_NEWMOD5_Model_9" xfId="12763" xr:uid="{00000000-0005-0000-0000-0000C5310000}"/>
    <cellStyle name="p_NEWMOD5_model28" xfId="12764" xr:uid="{00000000-0005-0000-0000-0000C6310000}"/>
    <cellStyle name="p_NEWMOD5_Newmodel12" xfId="12765" xr:uid="{00000000-0005-0000-0000-0000C7310000}"/>
    <cellStyle name="p_NEWMOD5_stupid_2" xfId="12766" xr:uid="{00000000-0005-0000-0000-0000C8310000}"/>
    <cellStyle name="p_NPSI 22 - Banks1 no password19" xfId="12767" xr:uid="{00000000-0005-0000-0000-0000C9310000}"/>
    <cellStyle name="p_NPSI 22 - Banks1 no password19_Gassman Mods26" xfId="12768" xr:uid="{00000000-0005-0000-0000-0000CA310000}"/>
    <cellStyle name="p_NPSI 22 - Banks1 no password19_Model_1" xfId="12769" xr:uid="{00000000-0005-0000-0000-0000CB310000}"/>
    <cellStyle name="p_NPSI 22 - Banks1 no password19_stupid_2" xfId="12770" xr:uid="{00000000-0005-0000-0000-0000CC310000}"/>
    <cellStyle name="p_Old Model 10 for Charts" xfId="12771" xr:uid="{00000000-0005-0000-0000-0000CD310000}"/>
    <cellStyle name="P_projections model from grand union.xls Chart 1" xfId="12772" xr:uid="{00000000-0005-0000-0000-0000CE310000}"/>
    <cellStyle name="P_projections model from grand union.xls Chart 1_~7576084" xfId="12773" xr:uid="{00000000-0005-0000-0000-0000CF310000}"/>
    <cellStyle name="P_projections model from grand union.xls Chart 1_hc_valuation_dcf_v1" xfId="12774" xr:uid="{00000000-0005-0000-0000-0000D0310000}"/>
    <cellStyle name="P_projections model from grand union.xls Chart 1_hc_valuation_dcf_v1_~7576084" xfId="12775" xr:uid="{00000000-0005-0000-0000-0000D1310000}"/>
    <cellStyle name="p_prucomps" xfId="12776" xr:uid="{00000000-0005-0000-0000-0000D2310000}"/>
    <cellStyle name="p_prucomps_finalised and conformed model2" xfId="12777" xr:uid="{00000000-0005-0000-0000-0000D3310000}"/>
    <cellStyle name="p_prucomps_finalised and conformed model2_Gassman Mods26" xfId="12778" xr:uid="{00000000-0005-0000-0000-0000D4310000}"/>
    <cellStyle name="p_prucomps_finalised and conformed model2_Model_1" xfId="12779" xr:uid="{00000000-0005-0000-0000-0000D5310000}"/>
    <cellStyle name="p_prucomps_finalised and conformed model2_stupid_2" xfId="12780" xr:uid="{00000000-0005-0000-0000-0000D6310000}"/>
    <cellStyle name="p_prucomps_Gassman Mods26" xfId="12781" xr:uid="{00000000-0005-0000-0000-0000D7310000}"/>
    <cellStyle name="p_prucomps_LTM Analysis" xfId="12782" xr:uid="{00000000-0005-0000-0000-0000D8310000}"/>
    <cellStyle name="p_prucomps_Model_1" xfId="12783" xr:uid="{00000000-0005-0000-0000-0000D9310000}"/>
    <cellStyle name="p_prucomps_model28" xfId="12784" xr:uid="{00000000-0005-0000-0000-0000DA310000}"/>
    <cellStyle name="p_prucomps_stupid_2" xfId="12785" xr:uid="{00000000-0005-0000-0000-0000DB310000}"/>
    <cellStyle name="p_RECON1" xfId="12786" xr:uid="{00000000-0005-0000-0000-0000DC310000}"/>
    <cellStyle name="p_RECON1_Gassman Mods26" xfId="12787" xr:uid="{00000000-0005-0000-0000-0000DD310000}"/>
    <cellStyle name="p_RECON1_Model_1" xfId="12788" xr:uid="{00000000-0005-0000-0000-0000DE310000}"/>
    <cellStyle name="p_RECON1_Model3" xfId="12789" xr:uid="{00000000-0005-0000-0000-0000DF310000}"/>
    <cellStyle name="p_RECON1_Model3_Gassman Mods26" xfId="12790" xr:uid="{00000000-0005-0000-0000-0000E0310000}"/>
    <cellStyle name="p_RECON1_Model3_Model_1" xfId="12791" xr:uid="{00000000-0005-0000-0000-0000E1310000}"/>
    <cellStyle name="p_RECON1_Model3_stupid_2" xfId="12792" xr:uid="{00000000-0005-0000-0000-0000E2310000}"/>
    <cellStyle name="p_RECON1_stupid_2" xfId="12793" xr:uid="{00000000-0005-0000-0000-0000E3310000}"/>
    <cellStyle name="p_stupid_2" xfId="12794" xr:uid="{00000000-0005-0000-0000-0000E4310000}"/>
    <cellStyle name="p_TABLES" xfId="12795" xr:uid="{00000000-0005-0000-0000-0000E5310000}"/>
    <cellStyle name="p_TABLES_Gassman Mods26" xfId="12796" xr:uid="{00000000-0005-0000-0000-0000E6310000}"/>
    <cellStyle name="p_TABLES_Model_1" xfId="12797" xr:uid="{00000000-0005-0000-0000-0000E7310000}"/>
    <cellStyle name="p_TABLES_Model3" xfId="12798" xr:uid="{00000000-0005-0000-0000-0000E8310000}"/>
    <cellStyle name="p_TABLES_Model3_Gassman Mods26" xfId="12799" xr:uid="{00000000-0005-0000-0000-0000E9310000}"/>
    <cellStyle name="p_TABLES_Model3_Model_1" xfId="12800" xr:uid="{00000000-0005-0000-0000-0000EA310000}"/>
    <cellStyle name="p_TABLES_Model3_stupid_2" xfId="12801" xr:uid="{00000000-0005-0000-0000-0000EB310000}"/>
    <cellStyle name="p_TABLES_stupid_2" xfId="12802" xr:uid="{00000000-0005-0000-0000-0000EC310000}"/>
    <cellStyle name="p_Template2" xfId="12803" xr:uid="{00000000-0005-0000-0000-0000ED310000}"/>
    <cellStyle name="p_Template2_1" xfId="12804" xr:uid="{00000000-0005-0000-0000-0000EE310000}"/>
    <cellStyle name="p_Template2_1_Gassman Mods26" xfId="12805" xr:uid="{00000000-0005-0000-0000-0000EF310000}"/>
    <cellStyle name="p_Template2_1_Model_43.xls(New Model)" xfId="12806" xr:uid="{00000000-0005-0000-0000-0000F0310000}"/>
    <cellStyle name="p_Template2_Gassman Mods26" xfId="12807" xr:uid="{00000000-0005-0000-0000-0000F1310000}"/>
    <cellStyle name="p_Template2_Model_43.xls(New Model)" xfId="12808" xr:uid="{00000000-0005-0000-0000-0000F2310000}"/>
    <cellStyle name="p_Titan FO - Model and Trading Comps v7" xfId="12809" xr:uid="{00000000-0005-0000-0000-0000F3310000}"/>
    <cellStyle name="p_Titan Model 10.7.05" xfId="12810" xr:uid="{00000000-0005-0000-0000-0000F4310000}"/>
    <cellStyle name="P_valuation model #1" xfId="12811" xr:uid="{00000000-0005-0000-0000-0000F5310000}"/>
    <cellStyle name="P_valuation model #1_~7576084" xfId="12812" xr:uid="{00000000-0005-0000-0000-0000F6310000}"/>
    <cellStyle name="P_valuation model #1_hc_valuation_dcf_v1" xfId="12813" xr:uid="{00000000-0005-0000-0000-0000F7310000}"/>
    <cellStyle name="P_valuation model #1_hc_valuation_dcf_v1_~7576084" xfId="12814" xr:uid="{00000000-0005-0000-0000-0000F8310000}"/>
    <cellStyle name="p_VERA" xfId="12815" xr:uid="{00000000-0005-0000-0000-0000F9310000}"/>
    <cellStyle name="p_VERA_1" xfId="12816" xr:uid="{00000000-0005-0000-0000-0000FA310000}"/>
    <cellStyle name="p_VERA_1_Gassman Mods26" xfId="12817" xr:uid="{00000000-0005-0000-0000-0000FB310000}"/>
    <cellStyle name="p_VERA_1_Model_43.xls(New Model)" xfId="12818" xr:uid="{00000000-0005-0000-0000-0000FC310000}"/>
    <cellStyle name="p_VERA_1_Template2" xfId="12819" xr:uid="{00000000-0005-0000-0000-0000FD310000}"/>
    <cellStyle name="p_VERA_1_Template2_Gassman Mods26" xfId="12820" xr:uid="{00000000-0005-0000-0000-0000FE310000}"/>
    <cellStyle name="p_VERA_1_Template2_Model_43.xls(New Model)" xfId="12821" xr:uid="{00000000-0005-0000-0000-0000FF310000}"/>
    <cellStyle name="p_VERA_aavidmod11.xls Chart 2" xfId="12822" xr:uid="{00000000-0005-0000-0000-000000320000}"/>
    <cellStyle name="p_VERA_aavidmod11.xls Chart 2_Gassman Mods26" xfId="12823" xr:uid="{00000000-0005-0000-0000-000001320000}"/>
    <cellStyle name="p_VERA_aavidmod11.xls Chart 2_Model_1" xfId="12824" xr:uid="{00000000-0005-0000-0000-000002320000}"/>
    <cellStyle name="p_VERA_aavidmod11.xls Chart 2_Model_43.xls(New Model)" xfId="12825" xr:uid="{00000000-0005-0000-0000-000003320000}"/>
    <cellStyle name="p_VERA_aavidmod11.xls Chart 2_stupid_2" xfId="12826" xr:uid="{00000000-0005-0000-0000-000004320000}"/>
    <cellStyle name="p_VERA_bridge returns" xfId="12827" xr:uid="{00000000-0005-0000-0000-000005320000}"/>
    <cellStyle name="p_VERA_comps9" xfId="12828" xr:uid="{00000000-0005-0000-0000-000006320000}"/>
    <cellStyle name="p_VERA_Debt_comps" xfId="12829" xr:uid="{00000000-0005-0000-0000-000007320000}"/>
    <cellStyle name="p_VERA_Debt_comps_comps9" xfId="12830" xr:uid="{00000000-0005-0000-0000-000008320000}"/>
    <cellStyle name="p_VERA_Gassman Mods26" xfId="12831" xr:uid="{00000000-0005-0000-0000-000009320000}"/>
    <cellStyle name="p_VERA_Italian model9" xfId="12832" xr:uid="{00000000-0005-0000-0000-00000A320000}"/>
    <cellStyle name="p_VERA_Model_1" xfId="12833" xr:uid="{00000000-0005-0000-0000-00000B320000}"/>
    <cellStyle name="p_VERA_Model_43.xls(New Model)" xfId="12834" xr:uid="{00000000-0005-0000-0000-00000C320000}"/>
    <cellStyle name="p_VERA_Model02" xfId="12835" xr:uid="{00000000-0005-0000-0000-00000D320000}"/>
    <cellStyle name="p_VERA_Model02_Gassman Mods26" xfId="12836" xr:uid="{00000000-0005-0000-0000-00000E320000}"/>
    <cellStyle name="p_VERA_Model02_Model_1" xfId="12837" xr:uid="{00000000-0005-0000-0000-00000F320000}"/>
    <cellStyle name="p_VERA_Model02_stupid_2" xfId="12838" xr:uid="{00000000-0005-0000-0000-000010320000}"/>
    <cellStyle name="p_VERA_Model3" xfId="12839" xr:uid="{00000000-0005-0000-0000-000011320000}"/>
    <cellStyle name="p_VERA_Model3_Gassman Mods26" xfId="12840" xr:uid="{00000000-0005-0000-0000-000012320000}"/>
    <cellStyle name="p_VERA_Model3_Italian model9" xfId="12841" xr:uid="{00000000-0005-0000-0000-000013320000}"/>
    <cellStyle name="p_VERA_Model3_Model_1" xfId="12842" xr:uid="{00000000-0005-0000-0000-000014320000}"/>
    <cellStyle name="p_VERA_Model3_stupid_2" xfId="12843" xr:uid="{00000000-0005-0000-0000-000015320000}"/>
    <cellStyle name="p_VERA_Roundy's" xfId="12844" xr:uid="{00000000-0005-0000-0000-000016320000}"/>
    <cellStyle name="p_VERA_stupid_2" xfId="12845" xr:uid="{00000000-0005-0000-0000-000017320000}"/>
    <cellStyle name="p_VERA_Template2" xfId="12846" xr:uid="{00000000-0005-0000-0000-000018320000}"/>
    <cellStyle name="p_VERA_Template2_Gassman Mods26" xfId="12847" xr:uid="{00000000-0005-0000-0000-000019320000}"/>
    <cellStyle name="p_VERA_Template2_Model_1" xfId="12848" xr:uid="{00000000-0005-0000-0000-00001A320000}"/>
    <cellStyle name="p_VERA_Template2_Model_43.xls(New Model)" xfId="12849" xr:uid="{00000000-0005-0000-0000-00001B320000}"/>
    <cellStyle name="p_VERA_Template2_Model112" xfId="12850" xr:uid="{00000000-0005-0000-0000-00001C320000}"/>
    <cellStyle name="p_VERA_Template2_stupid_2" xfId="12851" xr:uid="{00000000-0005-0000-0000-00001D320000}"/>
    <cellStyle name="p_VERA_VERA" xfId="12852" xr:uid="{00000000-0005-0000-0000-00001E320000}"/>
    <cellStyle name="p_VERA_VERA_1" xfId="12853" xr:uid="{00000000-0005-0000-0000-00001F320000}"/>
    <cellStyle name="p_VERA_VERA_1_Gassman Mods26" xfId="12854" xr:uid="{00000000-0005-0000-0000-000020320000}"/>
    <cellStyle name="p_VERA_VERA_1_Model_43.xls(New Model)" xfId="12855" xr:uid="{00000000-0005-0000-0000-000021320000}"/>
    <cellStyle name="p_VERA_VERA_2" xfId="12856" xr:uid="{00000000-0005-0000-0000-000022320000}"/>
    <cellStyle name="p_VERA_VERA_2_Gassman Mods26" xfId="12857" xr:uid="{00000000-0005-0000-0000-000023320000}"/>
    <cellStyle name="p_VERA_VERA_2_Model_1" xfId="12858" xr:uid="{00000000-0005-0000-0000-000024320000}"/>
    <cellStyle name="p_VERA_VERA_2_Model_43.xls(New Model)" xfId="12859" xr:uid="{00000000-0005-0000-0000-000025320000}"/>
    <cellStyle name="p_VERA_VERA_2_Model112" xfId="12860" xr:uid="{00000000-0005-0000-0000-000026320000}"/>
    <cellStyle name="p_VERA_VERA_2_stupid_2" xfId="12861" xr:uid="{00000000-0005-0000-0000-000027320000}"/>
    <cellStyle name="p_VERA_VERA_Gassman Mods26" xfId="12862" xr:uid="{00000000-0005-0000-0000-000028320000}"/>
    <cellStyle name="p_VERA_VERA_Model_43.xls(New Model)" xfId="12863" xr:uid="{00000000-0005-0000-0000-000029320000}"/>
    <cellStyle name="p_VERA_VERA_Template2" xfId="12864" xr:uid="{00000000-0005-0000-0000-00002A320000}"/>
    <cellStyle name="p_VERA_VERA_Template2_Gassman Mods26" xfId="12865" xr:uid="{00000000-0005-0000-0000-00002B320000}"/>
    <cellStyle name="p_VERA_VERA_Template2_Model_1" xfId="12866" xr:uid="{00000000-0005-0000-0000-00002C320000}"/>
    <cellStyle name="p_VERA_VERA_Template2_Model_43.xls(New Model)" xfId="12867" xr:uid="{00000000-0005-0000-0000-00002D320000}"/>
    <cellStyle name="p_VERA_VERA_Template2_Model112" xfId="12868" xr:uid="{00000000-0005-0000-0000-00002E320000}"/>
    <cellStyle name="p_VERA_VERA_Template2_stupid_2" xfId="12869" xr:uid="{00000000-0005-0000-0000-00002F320000}"/>
    <cellStyle name="p_VERA_Xerium Model (Dynamic)" xfId="12870" xr:uid="{00000000-0005-0000-0000-000030320000}"/>
    <cellStyle name="p_VERA_Xerium Model (Dynamic)_Gassman Mods26" xfId="12871" xr:uid="{00000000-0005-0000-0000-000031320000}"/>
    <cellStyle name="p_VERA_Xerium Model (Dynamic)_Model_1" xfId="12872" xr:uid="{00000000-0005-0000-0000-000032320000}"/>
    <cellStyle name="p_VERA_Xerium Model (Dynamic)_stupid_2" xfId="12873" xr:uid="{00000000-0005-0000-0000-000033320000}"/>
    <cellStyle name="p_Xerium Model (Dynamic)" xfId="12874" xr:uid="{00000000-0005-0000-0000-000034320000}"/>
    <cellStyle name="p_Xerium Model (Dynamic)_Gassman Mods26" xfId="12875" xr:uid="{00000000-0005-0000-0000-000035320000}"/>
    <cellStyle name="p_Xerium Model (Dynamic)_Model_1" xfId="12876" xr:uid="{00000000-0005-0000-0000-000036320000}"/>
    <cellStyle name="p_Xerium Model (Dynamic)_stupid_2" xfId="12877" xr:uid="{00000000-0005-0000-0000-000037320000}"/>
    <cellStyle name="Page Heading" xfId="12878" xr:uid="{00000000-0005-0000-0000-000038320000}"/>
    <cellStyle name="Page Heading Large" xfId="12879" xr:uid="{00000000-0005-0000-0000-000039320000}"/>
    <cellStyle name="Page Heading Small" xfId="12880" xr:uid="{00000000-0005-0000-0000-00003A320000}"/>
    <cellStyle name="Page Number" xfId="12881" xr:uid="{00000000-0005-0000-0000-00003B320000}"/>
    <cellStyle name="Palatino" xfId="12882" xr:uid="{00000000-0005-0000-0000-00003C320000}"/>
    <cellStyle name="pb_page_heading_LS" xfId="12883" xr:uid="{00000000-0005-0000-0000-00003D320000}"/>
    <cellStyle name="pc1" xfId="12884" xr:uid="{00000000-0005-0000-0000-00003E320000}"/>
    <cellStyle name="pe" xfId="12885" xr:uid="{00000000-0005-0000-0000-00003F320000}"/>
    <cellStyle name="PEG" xfId="12886" xr:uid="{00000000-0005-0000-0000-000040320000}"/>
    <cellStyle name="per.style" xfId="12887" xr:uid="{00000000-0005-0000-0000-000041320000}"/>
    <cellStyle name="Perc1" xfId="12888" xr:uid="{00000000-0005-0000-0000-000042320000}"/>
    <cellStyle name="Percent" xfId="1" builtinId="5"/>
    <cellStyle name="Percent %" xfId="12889" xr:uid="{00000000-0005-0000-0000-000044320000}"/>
    <cellStyle name="Percent % Long Underline" xfId="12890" xr:uid="{00000000-0005-0000-0000-000045320000}"/>
    <cellStyle name="Percent %_~7002754" xfId="12891" xr:uid="{00000000-0005-0000-0000-000046320000}"/>
    <cellStyle name="Percent (.0)" xfId="12892" xr:uid="{00000000-0005-0000-0000-000047320000}"/>
    <cellStyle name="Percent (0)" xfId="213" xr:uid="{00000000-0005-0000-0000-000048320000}"/>
    <cellStyle name="Percent (0.0%)" xfId="12893" xr:uid="{00000000-0005-0000-0000-000049320000}"/>
    <cellStyle name="Percent (0.00%)" xfId="12894" xr:uid="{00000000-0005-0000-0000-00004A320000}"/>
    <cellStyle name="Percent [0]" xfId="214" xr:uid="{00000000-0005-0000-0000-00004B320000}"/>
    <cellStyle name="Percent [0] Total" xfId="12895" xr:uid="{00000000-0005-0000-0000-00004C320000}"/>
    <cellStyle name="Percent [0] Total 2" xfId="12896" xr:uid="{00000000-0005-0000-0000-00004D320000}"/>
    <cellStyle name="Percent [0] Total 2 2" xfId="16807" xr:uid="{00000000-0005-0000-0000-00004E320000}"/>
    <cellStyle name="Percent [0] Total 3" xfId="16806" xr:uid="{00000000-0005-0000-0000-00004F320000}"/>
    <cellStyle name="Percent [0]_GSX2 Model_15" xfId="12897" xr:uid="{00000000-0005-0000-0000-000050320000}"/>
    <cellStyle name="Percent [00]" xfId="215" xr:uid="{00000000-0005-0000-0000-000051320000}"/>
    <cellStyle name="Percent [1]" xfId="12898" xr:uid="{00000000-0005-0000-0000-000052320000}"/>
    <cellStyle name="Percent [1][]" xfId="12899" xr:uid="{00000000-0005-0000-0000-000053320000}"/>
    <cellStyle name="Percent [1]_~1010844" xfId="12900" xr:uid="{00000000-0005-0000-0000-000054320000}"/>
    <cellStyle name="Percent [2]" xfId="216" xr:uid="{00000000-0005-0000-0000-000055320000}"/>
    <cellStyle name="Percent [2] 2" xfId="217" xr:uid="{00000000-0005-0000-0000-000056320000}"/>
    <cellStyle name="Percent [2] 2 2" xfId="12901" xr:uid="{00000000-0005-0000-0000-000057320000}"/>
    <cellStyle name="Percent [2] 2 2 2" xfId="12902" xr:uid="{00000000-0005-0000-0000-000058320000}"/>
    <cellStyle name="Percent [2] 2 3" xfId="12903" xr:uid="{00000000-0005-0000-0000-000059320000}"/>
    <cellStyle name="Percent [2] 3" xfId="12904" xr:uid="{00000000-0005-0000-0000-00005A320000}"/>
    <cellStyle name="Percent [2] Total" xfId="12905" xr:uid="{00000000-0005-0000-0000-00005B320000}"/>
    <cellStyle name="Percent [2] Total 2" xfId="12906" xr:uid="{00000000-0005-0000-0000-00005C320000}"/>
    <cellStyle name="Percent [2] Total 2 2" xfId="16809" xr:uid="{00000000-0005-0000-0000-00005D320000}"/>
    <cellStyle name="Percent [2] Total 3" xfId="16808" xr:uid="{00000000-0005-0000-0000-00005E320000}"/>
    <cellStyle name="Percent [2]_Harvest SAFE CASE $425 2-21-02" xfId="12907" xr:uid="{00000000-0005-0000-0000-00005F320000}"/>
    <cellStyle name="Percent [3]" xfId="12908" xr:uid="{00000000-0005-0000-0000-000060320000}"/>
    <cellStyle name="Percent 0.0%" xfId="12909" xr:uid="{00000000-0005-0000-0000-000061320000}"/>
    <cellStyle name="Percent 0.0% Long Underline" xfId="12910" xr:uid="{00000000-0005-0000-0000-000062320000}"/>
    <cellStyle name="Percent 0.0%_~7002754" xfId="12911" xr:uid="{00000000-0005-0000-0000-000063320000}"/>
    <cellStyle name="Percent 0.00%" xfId="12912" xr:uid="{00000000-0005-0000-0000-000064320000}"/>
    <cellStyle name="Percent 0.00% Long Underline" xfId="12913" xr:uid="{00000000-0005-0000-0000-000065320000}"/>
    <cellStyle name="Percent 0.00%_~7002754" xfId="12914" xr:uid="{00000000-0005-0000-0000-000066320000}"/>
    <cellStyle name="Percent 0.000%" xfId="12915" xr:uid="{00000000-0005-0000-0000-000067320000}"/>
    <cellStyle name="Percent 0.000% Long Underline" xfId="12916" xr:uid="{00000000-0005-0000-0000-000068320000}"/>
    <cellStyle name="Percent 0.000%_~7002754" xfId="12917" xr:uid="{00000000-0005-0000-0000-000069320000}"/>
    <cellStyle name="Percent 0.0000%" xfId="12918" xr:uid="{00000000-0005-0000-0000-00006A320000}"/>
    <cellStyle name="Percent 0.0000% Long Underline" xfId="12919" xr:uid="{00000000-0005-0000-0000-00006B320000}"/>
    <cellStyle name="Percent 0.0000%_~7002754" xfId="12920" xr:uid="{00000000-0005-0000-0000-00006C320000}"/>
    <cellStyle name="Percent 10" xfId="218" xr:uid="{00000000-0005-0000-0000-00006D320000}"/>
    <cellStyle name="Percent 10 2" xfId="12921" xr:uid="{00000000-0005-0000-0000-00006E320000}"/>
    <cellStyle name="Percent 10 2 2" xfId="12922" xr:uid="{00000000-0005-0000-0000-00006F320000}"/>
    <cellStyle name="Percent 10 2 2 2" xfId="12923" xr:uid="{00000000-0005-0000-0000-000070320000}"/>
    <cellStyle name="Percent 10 2 2 2 2" xfId="12924" xr:uid="{00000000-0005-0000-0000-000071320000}"/>
    <cellStyle name="Percent 10 2 2 2 2 2" xfId="12925" xr:uid="{00000000-0005-0000-0000-000072320000}"/>
    <cellStyle name="Percent 10 2 2 2 2 2 2" xfId="12926" xr:uid="{00000000-0005-0000-0000-000073320000}"/>
    <cellStyle name="Percent 10 2 2 2 2 3" xfId="12927" xr:uid="{00000000-0005-0000-0000-000074320000}"/>
    <cellStyle name="Percent 10 2 2 2 2 3 2" xfId="12928" xr:uid="{00000000-0005-0000-0000-000075320000}"/>
    <cellStyle name="Percent 10 2 2 2 2 4" xfId="12929" xr:uid="{00000000-0005-0000-0000-000076320000}"/>
    <cellStyle name="Percent 10 2 2 2 3" xfId="12930" xr:uid="{00000000-0005-0000-0000-000077320000}"/>
    <cellStyle name="Percent 10 2 2 2 3 2" xfId="12931" xr:uid="{00000000-0005-0000-0000-000078320000}"/>
    <cellStyle name="Percent 10 2 2 2 3 2 2" xfId="12932" xr:uid="{00000000-0005-0000-0000-000079320000}"/>
    <cellStyle name="Percent 10 2 2 2 3 3" xfId="12933" xr:uid="{00000000-0005-0000-0000-00007A320000}"/>
    <cellStyle name="Percent 10 2 2 2 4" xfId="12934" xr:uid="{00000000-0005-0000-0000-00007B320000}"/>
    <cellStyle name="Percent 10 2 2 2 4 2" xfId="12935" xr:uid="{00000000-0005-0000-0000-00007C320000}"/>
    <cellStyle name="Percent 10 2 2 2 5" xfId="12936" xr:uid="{00000000-0005-0000-0000-00007D320000}"/>
    <cellStyle name="Percent 10 2 2 2 5 2" xfId="12937" xr:uid="{00000000-0005-0000-0000-00007E320000}"/>
    <cellStyle name="Percent 10 2 2 2 6" xfId="12938" xr:uid="{00000000-0005-0000-0000-00007F320000}"/>
    <cellStyle name="Percent 10 2 2 3" xfId="12939" xr:uid="{00000000-0005-0000-0000-000080320000}"/>
    <cellStyle name="Percent 10 2 2 3 2" xfId="12940" xr:uid="{00000000-0005-0000-0000-000081320000}"/>
    <cellStyle name="Percent 10 2 2 3 2 2" xfId="12941" xr:uid="{00000000-0005-0000-0000-000082320000}"/>
    <cellStyle name="Percent 10 2 2 3 3" xfId="12942" xr:uid="{00000000-0005-0000-0000-000083320000}"/>
    <cellStyle name="Percent 10 2 2 3 3 2" xfId="12943" xr:uid="{00000000-0005-0000-0000-000084320000}"/>
    <cellStyle name="Percent 10 2 2 3 4" xfId="12944" xr:uid="{00000000-0005-0000-0000-000085320000}"/>
    <cellStyle name="Percent 10 2 2 4" xfId="12945" xr:uid="{00000000-0005-0000-0000-000086320000}"/>
    <cellStyle name="Percent 10 2 2 4 2" xfId="12946" xr:uid="{00000000-0005-0000-0000-000087320000}"/>
    <cellStyle name="Percent 10 2 2 4 2 2" xfId="12947" xr:uid="{00000000-0005-0000-0000-000088320000}"/>
    <cellStyle name="Percent 10 2 2 4 3" xfId="12948" xr:uid="{00000000-0005-0000-0000-000089320000}"/>
    <cellStyle name="Percent 10 2 2 5" xfId="12949" xr:uid="{00000000-0005-0000-0000-00008A320000}"/>
    <cellStyle name="Percent 10 2 2 5 2" xfId="12950" xr:uid="{00000000-0005-0000-0000-00008B320000}"/>
    <cellStyle name="Percent 10 2 2 6" xfId="12951" xr:uid="{00000000-0005-0000-0000-00008C320000}"/>
    <cellStyle name="Percent 10 2 2 6 2" xfId="12952" xr:uid="{00000000-0005-0000-0000-00008D320000}"/>
    <cellStyle name="Percent 10 2 2 7" xfId="12953" xr:uid="{00000000-0005-0000-0000-00008E320000}"/>
    <cellStyle name="Percent 10 2 3" xfId="12954" xr:uid="{00000000-0005-0000-0000-00008F320000}"/>
    <cellStyle name="Percent 10 2 3 2" xfId="12955" xr:uid="{00000000-0005-0000-0000-000090320000}"/>
    <cellStyle name="Percent 10 2 3 2 2" xfId="12956" xr:uid="{00000000-0005-0000-0000-000091320000}"/>
    <cellStyle name="Percent 10 2 3 2 2 2" xfId="12957" xr:uid="{00000000-0005-0000-0000-000092320000}"/>
    <cellStyle name="Percent 10 2 3 2 2 2 2" xfId="12958" xr:uid="{00000000-0005-0000-0000-000093320000}"/>
    <cellStyle name="Percent 10 2 3 2 2 3" xfId="12959" xr:uid="{00000000-0005-0000-0000-000094320000}"/>
    <cellStyle name="Percent 10 2 3 2 2 3 2" xfId="12960" xr:uid="{00000000-0005-0000-0000-000095320000}"/>
    <cellStyle name="Percent 10 2 3 2 2 4" xfId="12961" xr:uid="{00000000-0005-0000-0000-000096320000}"/>
    <cellStyle name="Percent 10 2 3 2 3" xfId="12962" xr:uid="{00000000-0005-0000-0000-000097320000}"/>
    <cellStyle name="Percent 10 2 3 2 3 2" xfId="12963" xr:uid="{00000000-0005-0000-0000-000098320000}"/>
    <cellStyle name="Percent 10 2 3 2 3 2 2" xfId="12964" xr:uid="{00000000-0005-0000-0000-000099320000}"/>
    <cellStyle name="Percent 10 2 3 2 3 3" xfId="12965" xr:uid="{00000000-0005-0000-0000-00009A320000}"/>
    <cellStyle name="Percent 10 2 3 2 4" xfId="12966" xr:uid="{00000000-0005-0000-0000-00009B320000}"/>
    <cellStyle name="Percent 10 2 3 2 4 2" xfId="12967" xr:uid="{00000000-0005-0000-0000-00009C320000}"/>
    <cellStyle name="Percent 10 2 3 2 5" xfId="12968" xr:uid="{00000000-0005-0000-0000-00009D320000}"/>
    <cellStyle name="Percent 10 2 3 2 5 2" xfId="12969" xr:uid="{00000000-0005-0000-0000-00009E320000}"/>
    <cellStyle name="Percent 10 2 3 2 6" xfId="12970" xr:uid="{00000000-0005-0000-0000-00009F320000}"/>
    <cellStyle name="Percent 10 2 3 3" xfId="12971" xr:uid="{00000000-0005-0000-0000-0000A0320000}"/>
    <cellStyle name="Percent 10 2 3 3 2" xfId="12972" xr:uid="{00000000-0005-0000-0000-0000A1320000}"/>
    <cellStyle name="Percent 10 2 3 3 2 2" xfId="12973" xr:uid="{00000000-0005-0000-0000-0000A2320000}"/>
    <cellStyle name="Percent 10 2 3 3 3" xfId="12974" xr:uid="{00000000-0005-0000-0000-0000A3320000}"/>
    <cellStyle name="Percent 10 2 3 3 3 2" xfId="12975" xr:uid="{00000000-0005-0000-0000-0000A4320000}"/>
    <cellStyle name="Percent 10 2 3 3 4" xfId="12976" xr:uid="{00000000-0005-0000-0000-0000A5320000}"/>
    <cellStyle name="Percent 10 2 3 4" xfId="12977" xr:uid="{00000000-0005-0000-0000-0000A6320000}"/>
    <cellStyle name="Percent 10 2 3 4 2" xfId="12978" xr:uid="{00000000-0005-0000-0000-0000A7320000}"/>
    <cellStyle name="Percent 10 2 3 4 2 2" xfId="12979" xr:uid="{00000000-0005-0000-0000-0000A8320000}"/>
    <cellStyle name="Percent 10 2 3 4 3" xfId="12980" xr:uid="{00000000-0005-0000-0000-0000A9320000}"/>
    <cellStyle name="Percent 10 2 3 5" xfId="12981" xr:uid="{00000000-0005-0000-0000-0000AA320000}"/>
    <cellStyle name="Percent 10 2 3 5 2" xfId="12982" xr:uid="{00000000-0005-0000-0000-0000AB320000}"/>
    <cellStyle name="Percent 10 2 3 6" xfId="12983" xr:uid="{00000000-0005-0000-0000-0000AC320000}"/>
    <cellStyle name="Percent 10 2 3 6 2" xfId="12984" xr:uid="{00000000-0005-0000-0000-0000AD320000}"/>
    <cellStyle name="Percent 10 2 3 7" xfId="12985" xr:uid="{00000000-0005-0000-0000-0000AE320000}"/>
    <cellStyle name="Percent 10 2 4" xfId="12986" xr:uid="{00000000-0005-0000-0000-0000AF320000}"/>
    <cellStyle name="Percent 10 2 4 2" xfId="12987" xr:uid="{00000000-0005-0000-0000-0000B0320000}"/>
    <cellStyle name="Percent 10 2 4 2 2" xfId="12988" xr:uid="{00000000-0005-0000-0000-0000B1320000}"/>
    <cellStyle name="Percent 10 2 4 2 2 2" xfId="12989" xr:uid="{00000000-0005-0000-0000-0000B2320000}"/>
    <cellStyle name="Percent 10 2 4 2 3" xfId="12990" xr:uid="{00000000-0005-0000-0000-0000B3320000}"/>
    <cellStyle name="Percent 10 2 4 2 3 2" xfId="12991" xr:uid="{00000000-0005-0000-0000-0000B4320000}"/>
    <cellStyle name="Percent 10 2 4 2 4" xfId="12992" xr:uid="{00000000-0005-0000-0000-0000B5320000}"/>
    <cellStyle name="Percent 10 2 4 3" xfId="12993" xr:uid="{00000000-0005-0000-0000-0000B6320000}"/>
    <cellStyle name="Percent 10 2 4 3 2" xfId="12994" xr:uid="{00000000-0005-0000-0000-0000B7320000}"/>
    <cellStyle name="Percent 10 2 4 3 2 2" xfId="12995" xr:uid="{00000000-0005-0000-0000-0000B8320000}"/>
    <cellStyle name="Percent 10 2 4 3 3" xfId="12996" xr:uid="{00000000-0005-0000-0000-0000B9320000}"/>
    <cellStyle name="Percent 10 2 4 4" xfId="12997" xr:uid="{00000000-0005-0000-0000-0000BA320000}"/>
    <cellStyle name="Percent 10 2 4 4 2" xfId="12998" xr:uid="{00000000-0005-0000-0000-0000BB320000}"/>
    <cellStyle name="Percent 10 2 4 5" xfId="12999" xr:uid="{00000000-0005-0000-0000-0000BC320000}"/>
    <cellStyle name="Percent 10 2 4 5 2" xfId="13000" xr:uid="{00000000-0005-0000-0000-0000BD320000}"/>
    <cellStyle name="Percent 10 2 4 6" xfId="13001" xr:uid="{00000000-0005-0000-0000-0000BE320000}"/>
    <cellStyle name="Percent 10 2 5" xfId="13002" xr:uid="{00000000-0005-0000-0000-0000BF320000}"/>
    <cellStyle name="Percent 10 2 5 2" xfId="13003" xr:uid="{00000000-0005-0000-0000-0000C0320000}"/>
    <cellStyle name="Percent 10 2 5 2 2" xfId="13004" xr:uid="{00000000-0005-0000-0000-0000C1320000}"/>
    <cellStyle name="Percent 10 2 5 3" xfId="13005" xr:uid="{00000000-0005-0000-0000-0000C2320000}"/>
    <cellStyle name="Percent 10 2 5 3 2" xfId="13006" xr:uid="{00000000-0005-0000-0000-0000C3320000}"/>
    <cellStyle name="Percent 10 2 5 4" xfId="13007" xr:uid="{00000000-0005-0000-0000-0000C4320000}"/>
    <cellStyle name="Percent 10 2 6" xfId="13008" xr:uid="{00000000-0005-0000-0000-0000C5320000}"/>
    <cellStyle name="Percent 10 2 6 2" xfId="13009" xr:uid="{00000000-0005-0000-0000-0000C6320000}"/>
    <cellStyle name="Percent 10 2 6 2 2" xfId="13010" xr:uid="{00000000-0005-0000-0000-0000C7320000}"/>
    <cellStyle name="Percent 10 2 6 3" xfId="13011" xr:uid="{00000000-0005-0000-0000-0000C8320000}"/>
    <cellStyle name="Percent 10 2 7" xfId="13012" xr:uid="{00000000-0005-0000-0000-0000C9320000}"/>
    <cellStyle name="Percent 10 2 7 2" xfId="13013" xr:uid="{00000000-0005-0000-0000-0000CA320000}"/>
    <cellStyle name="Percent 10 2 8" xfId="13014" xr:uid="{00000000-0005-0000-0000-0000CB320000}"/>
    <cellStyle name="Percent 10 2 8 2" xfId="13015" xr:uid="{00000000-0005-0000-0000-0000CC320000}"/>
    <cellStyle name="Percent 10 2 9" xfId="13016" xr:uid="{00000000-0005-0000-0000-0000CD320000}"/>
    <cellStyle name="Percent 10 3" xfId="13017" xr:uid="{00000000-0005-0000-0000-0000CE320000}"/>
    <cellStyle name="Percent 10 3 2" xfId="13018" xr:uid="{00000000-0005-0000-0000-0000CF320000}"/>
    <cellStyle name="Percent 10 3 2 2" xfId="13019" xr:uid="{00000000-0005-0000-0000-0000D0320000}"/>
    <cellStyle name="Percent 10 3 2 2 2" xfId="13020" xr:uid="{00000000-0005-0000-0000-0000D1320000}"/>
    <cellStyle name="Percent 10 3 2 2 2 2" xfId="13021" xr:uid="{00000000-0005-0000-0000-0000D2320000}"/>
    <cellStyle name="Percent 10 3 2 2 3" xfId="13022" xr:uid="{00000000-0005-0000-0000-0000D3320000}"/>
    <cellStyle name="Percent 10 3 2 2 3 2" xfId="13023" xr:uid="{00000000-0005-0000-0000-0000D4320000}"/>
    <cellStyle name="Percent 10 3 2 2 4" xfId="13024" xr:uid="{00000000-0005-0000-0000-0000D5320000}"/>
    <cellStyle name="Percent 10 3 2 3" xfId="13025" xr:uid="{00000000-0005-0000-0000-0000D6320000}"/>
    <cellStyle name="Percent 10 3 2 3 2" xfId="13026" xr:uid="{00000000-0005-0000-0000-0000D7320000}"/>
    <cellStyle name="Percent 10 3 2 3 2 2" xfId="13027" xr:uid="{00000000-0005-0000-0000-0000D8320000}"/>
    <cellStyle name="Percent 10 3 2 3 3" xfId="13028" xr:uid="{00000000-0005-0000-0000-0000D9320000}"/>
    <cellStyle name="Percent 10 3 2 4" xfId="13029" xr:uid="{00000000-0005-0000-0000-0000DA320000}"/>
    <cellStyle name="Percent 10 3 2 4 2" xfId="13030" xr:uid="{00000000-0005-0000-0000-0000DB320000}"/>
    <cellStyle name="Percent 10 3 2 5" xfId="13031" xr:uid="{00000000-0005-0000-0000-0000DC320000}"/>
    <cellStyle name="Percent 10 3 2 5 2" xfId="13032" xr:uid="{00000000-0005-0000-0000-0000DD320000}"/>
    <cellStyle name="Percent 10 3 2 6" xfId="13033" xr:uid="{00000000-0005-0000-0000-0000DE320000}"/>
    <cellStyle name="Percent 10 3 3" xfId="13034" xr:uid="{00000000-0005-0000-0000-0000DF320000}"/>
    <cellStyle name="Percent 10 3 3 2" xfId="13035" xr:uid="{00000000-0005-0000-0000-0000E0320000}"/>
    <cellStyle name="Percent 10 3 3 2 2" xfId="13036" xr:uid="{00000000-0005-0000-0000-0000E1320000}"/>
    <cellStyle name="Percent 10 3 3 3" xfId="13037" xr:uid="{00000000-0005-0000-0000-0000E2320000}"/>
    <cellStyle name="Percent 10 3 3 3 2" xfId="13038" xr:uid="{00000000-0005-0000-0000-0000E3320000}"/>
    <cellStyle name="Percent 10 3 3 4" xfId="13039" xr:uid="{00000000-0005-0000-0000-0000E4320000}"/>
    <cellStyle name="Percent 10 3 4" xfId="13040" xr:uid="{00000000-0005-0000-0000-0000E5320000}"/>
    <cellStyle name="Percent 10 3 4 2" xfId="13041" xr:uid="{00000000-0005-0000-0000-0000E6320000}"/>
    <cellStyle name="Percent 10 3 4 2 2" xfId="13042" xr:uid="{00000000-0005-0000-0000-0000E7320000}"/>
    <cellStyle name="Percent 10 3 4 3" xfId="13043" xr:uid="{00000000-0005-0000-0000-0000E8320000}"/>
    <cellStyle name="Percent 10 3 5" xfId="13044" xr:uid="{00000000-0005-0000-0000-0000E9320000}"/>
    <cellStyle name="Percent 10 3 5 2" xfId="13045" xr:uid="{00000000-0005-0000-0000-0000EA320000}"/>
    <cellStyle name="Percent 10 3 6" xfId="13046" xr:uid="{00000000-0005-0000-0000-0000EB320000}"/>
    <cellStyle name="Percent 10 3 6 2" xfId="13047" xr:uid="{00000000-0005-0000-0000-0000EC320000}"/>
    <cellStyle name="Percent 10 3 7" xfId="13048" xr:uid="{00000000-0005-0000-0000-0000ED320000}"/>
    <cellStyle name="Percent 10 4" xfId="13049" xr:uid="{00000000-0005-0000-0000-0000EE320000}"/>
    <cellStyle name="Percent 10 4 2" xfId="13050" xr:uid="{00000000-0005-0000-0000-0000EF320000}"/>
    <cellStyle name="Percent 10 4 2 2" xfId="13051" xr:uid="{00000000-0005-0000-0000-0000F0320000}"/>
    <cellStyle name="Percent 10 4 2 2 2" xfId="13052" xr:uid="{00000000-0005-0000-0000-0000F1320000}"/>
    <cellStyle name="Percent 10 4 2 2 2 2" xfId="13053" xr:uid="{00000000-0005-0000-0000-0000F2320000}"/>
    <cellStyle name="Percent 10 4 2 2 3" xfId="13054" xr:uid="{00000000-0005-0000-0000-0000F3320000}"/>
    <cellStyle name="Percent 10 4 2 2 3 2" xfId="13055" xr:uid="{00000000-0005-0000-0000-0000F4320000}"/>
    <cellStyle name="Percent 10 4 2 2 4" xfId="13056" xr:uid="{00000000-0005-0000-0000-0000F5320000}"/>
    <cellStyle name="Percent 10 4 2 3" xfId="13057" xr:uid="{00000000-0005-0000-0000-0000F6320000}"/>
    <cellStyle name="Percent 10 4 2 3 2" xfId="13058" xr:uid="{00000000-0005-0000-0000-0000F7320000}"/>
    <cellStyle name="Percent 10 4 2 3 2 2" xfId="13059" xr:uid="{00000000-0005-0000-0000-0000F8320000}"/>
    <cellStyle name="Percent 10 4 2 3 3" xfId="13060" xr:uid="{00000000-0005-0000-0000-0000F9320000}"/>
    <cellStyle name="Percent 10 4 2 4" xfId="13061" xr:uid="{00000000-0005-0000-0000-0000FA320000}"/>
    <cellStyle name="Percent 10 4 2 4 2" xfId="13062" xr:uid="{00000000-0005-0000-0000-0000FB320000}"/>
    <cellStyle name="Percent 10 4 2 5" xfId="13063" xr:uid="{00000000-0005-0000-0000-0000FC320000}"/>
    <cellStyle name="Percent 10 4 2 5 2" xfId="13064" xr:uid="{00000000-0005-0000-0000-0000FD320000}"/>
    <cellStyle name="Percent 10 4 2 6" xfId="13065" xr:uid="{00000000-0005-0000-0000-0000FE320000}"/>
    <cellStyle name="Percent 10 4 3" xfId="13066" xr:uid="{00000000-0005-0000-0000-0000FF320000}"/>
    <cellStyle name="Percent 10 4 3 2" xfId="13067" xr:uid="{00000000-0005-0000-0000-000000330000}"/>
    <cellStyle name="Percent 10 4 3 2 2" xfId="13068" xr:uid="{00000000-0005-0000-0000-000001330000}"/>
    <cellStyle name="Percent 10 4 3 3" xfId="13069" xr:uid="{00000000-0005-0000-0000-000002330000}"/>
    <cellStyle name="Percent 10 4 3 3 2" xfId="13070" xr:uid="{00000000-0005-0000-0000-000003330000}"/>
    <cellStyle name="Percent 10 4 3 4" xfId="13071" xr:uid="{00000000-0005-0000-0000-000004330000}"/>
    <cellStyle name="Percent 10 4 4" xfId="13072" xr:uid="{00000000-0005-0000-0000-000005330000}"/>
    <cellStyle name="Percent 10 4 4 2" xfId="13073" xr:uid="{00000000-0005-0000-0000-000006330000}"/>
    <cellStyle name="Percent 10 4 4 2 2" xfId="13074" xr:uid="{00000000-0005-0000-0000-000007330000}"/>
    <cellStyle name="Percent 10 4 4 3" xfId="13075" xr:uid="{00000000-0005-0000-0000-000008330000}"/>
    <cellStyle name="Percent 10 4 5" xfId="13076" xr:uid="{00000000-0005-0000-0000-000009330000}"/>
    <cellStyle name="Percent 10 4 5 2" xfId="13077" xr:uid="{00000000-0005-0000-0000-00000A330000}"/>
    <cellStyle name="Percent 10 4 6" xfId="13078" xr:uid="{00000000-0005-0000-0000-00000B330000}"/>
    <cellStyle name="Percent 10 4 6 2" xfId="13079" xr:uid="{00000000-0005-0000-0000-00000C330000}"/>
    <cellStyle name="Percent 10 4 7" xfId="13080" xr:uid="{00000000-0005-0000-0000-00000D330000}"/>
    <cellStyle name="Percent 10 5" xfId="13081" xr:uid="{00000000-0005-0000-0000-00000E330000}"/>
    <cellStyle name="Percent 10 5 2" xfId="13082" xr:uid="{00000000-0005-0000-0000-00000F330000}"/>
    <cellStyle name="Percent 10 5 2 2" xfId="13083" xr:uid="{00000000-0005-0000-0000-000010330000}"/>
    <cellStyle name="Percent 10 5 3" xfId="13084" xr:uid="{00000000-0005-0000-0000-000011330000}"/>
    <cellStyle name="Percent 10 6" xfId="13085" xr:uid="{00000000-0005-0000-0000-000012330000}"/>
    <cellStyle name="Percent 100" xfId="13086" xr:uid="{00000000-0005-0000-0000-000013330000}"/>
    <cellStyle name="Percent 101" xfId="13087" xr:uid="{00000000-0005-0000-0000-000014330000}"/>
    <cellStyle name="Percent 102" xfId="13088" xr:uid="{00000000-0005-0000-0000-000015330000}"/>
    <cellStyle name="Percent 103" xfId="13089" xr:uid="{00000000-0005-0000-0000-000016330000}"/>
    <cellStyle name="Percent 104" xfId="13090" xr:uid="{00000000-0005-0000-0000-000017330000}"/>
    <cellStyle name="Percent 105" xfId="13091" xr:uid="{00000000-0005-0000-0000-000018330000}"/>
    <cellStyle name="Percent 106" xfId="13092" xr:uid="{00000000-0005-0000-0000-000019330000}"/>
    <cellStyle name="Percent 107" xfId="13093" xr:uid="{00000000-0005-0000-0000-00001A330000}"/>
    <cellStyle name="Percent 108" xfId="13094" xr:uid="{00000000-0005-0000-0000-00001B330000}"/>
    <cellStyle name="Percent 109" xfId="13095" xr:uid="{00000000-0005-0000-0000-00001C330000}"/>
    <cellStyle name="Percent 11" xfId="219" xr:uid="{00000000-0005-0000-0000-00001D330000}"/>
    <cellStyle name="Percent 11 2" xfId="13096" xr:uid="{00000000-0005-0000-0000-00001E330000}"/>
    <cellStyle name="Percent 110" xfId="13097" xr:uid="{00000000-0005-0000-0000-00001F330000}"/>
    <cellStyle name="Percent 111" xfId="13098" xr:uid="{00000000-0005-0000-0000-000020330000}"/>
    <cellStyle name="Percent 112" xfId="13099" xr:uid="{00000000-0005-0000-0000-000021330000}"/>
    <cellStyle name="Percent 113" xfId="13100" xr:uid="{00000000-0005-0000-0000-000022330000}"/>
    <cellStyle name="Percent 114" xfId="13101" xr:uid="{00000000-0005-0000-0000-000023330000}"/>
    <cellStyle name="Percent 115" xfId="13102" xr:uid="{00000000-0005-0000-0000-000024330000}"/>
    <cellStyle name="Percent 116" xfId="13103" xr:uid="{00000000-0005-0000-0000-000025330000}"/>
    <cellStyle name="Percent 117" xfId="13104" xr:uid="{00000000-0005-0000-0000-000026330000}"/>
    <cellStyle name="Percent 118" xfId="13105" xr:uid="{00000000-0005-0000-0000-000027330000}"/>
    <cellStyle name="Percent 119" xfId="13106" xr:uid="{00000000-0005-0000-0000-000028330000}"/>
    <cellStyle name="Percent 12" xfId="220" xr:uid="{00000000-0005-0000-0000-000029330000}"/>
    <cellStyle name="Percent 12 2" xfId="13107" xr:uid="{00000000-0005-0000-0000-00002A330000}"/>
    <cellStyle name="Percent 120" xfId="13108" xr:uid="{00000000-0005-0000-0000-00002B330000}"/>
    <cellStyle name="Percent 121" xfId="13109" xr:uid="{00000000-0005-0000-0000-00002C330000}"/>
    <cellStyle name="Percent 122" xfId="13110" xr:uid="{00000000-0005-0000-0000-00002D330000}"/>
    <cellStyle name="Percent 123" xfId="13111" xr:uid="{00000000-0005-0000-0000-00002E330000}"/>
    <cellStyle name="Percent 124" xfId="13112" xr:uid="{00000000-0005-0000-0000-00002F330000}"/>
    <cellStyle name="Percent 125" xfId="13113" xr:uid="{00000000-0005-0000-0000-000030330000}"/>
    <cellStyle name="Percent 126" xfId="13114" xr:uid="{00000000-0005-0000-0000-000031330000}"/>
    <cellStyle name="Percent 127" xfId="13115" xr:uid="{00000000-0005-0000-0000-000032330000}"/>
    <cellStyle name="Percent 128" xfId="13116" xr:uid="{00000000-0005-0000-0000-000033330000}"/>
    <cellStyle name="Percent 129" xfId="13117" xr:uid="{00000000-0005-0000-0000-000034330000}"/>
    <cellStyle name="Percent 13" xfId="221" xr:uid="{00000000-0005-0000-0000-000035330000}"/>
    <cellStyle name="Percent 13 2" xfId="13118" xr:uid="{00000000-0005-0000-0000-000036330000}"/>
    <cellStyle name="Percent 130" xfId="13119" xr:uid="{00000000-0005-0000-0000-000037330000}"/>
    <cellStyle name="Percent 131" xfId="13120" xr:uid="{00000000-0005-0000-0000-000038330000}"/>
    <cellStyle name="Percent 132" xfId="13121" xr:uid="{00000000-0005-0000-0000-000039330000}"/>
    <cellStyle name="Percent 133" xfId="13122" xr:uid="{00000000-0005-0000-0000-00003A330000}"/>
    <cellStyle name="Percent 134" xfId="13123" xr:uid="{00000000-0005-0000-0000-00003B330000}"/>
    <cellStyle name="Percent 135" xfId="13124" xr:uid="{00000000-0005-0000-0000-00003C330000}"/>
    <cellStyle name="Percent 136" xfId="13125" xr:uid="{00000000-0005-0000-0000-00003D330000}"/>
    <cellStyle name="Percent 137" xfId="13126" xr:uid="{00000000-0005-0000-0000-00003E330000}"/>
    <cellStyle name="Percent 138" xfId="13127" xr:uid="{00000000-0005-0000-0000-00003F330000}"/>
    <cellStyle name="Percent 139" xfId="13128" xr:uid="{00000000-0005-0000-0000-000040330000}"/>
    <cellStyle name="Percent 14" xfId="222" xr:uid="{00000000-0005-0000-0000-000041330000}"/>
    <cellStyle name="Percent 14 2" xfId="13129" xr:uid="{00000000-0005-0000-0000-000042330000}"/>
    <cellStyle name="Percent 140" xfId="13130" xr:uid="{00000000-0005-0000-0000-000043330000}"/>
    <cellStyle name="Percent 141" xfId="13131" xr:uid="{00000000-0005-0000-0000-000044330000}"/>
    <cellStyle name="Percent 142" xfId="13132" xr:uid="{00000000-0005-0000-0000-000045330000}"/>
    <cellStyle name="Percent 143" xfId="13133" xr:uid="{00000000-0005-0000-0000-000046330000}"/>
    <cellStyle name="Percent 144" xfId="13134" xr:uid="{00000000-0005-0000-0000-000047330000}"/>
    <cellStyle name="Percent 145" xfId="13135" xr:uid="{00000000-0005-0000-0000-000048330000}"/>
    <cellStyle name="Percent 146" xfId="13136" xr:uid="{00000000-0005-0000-0000-000049330000}"/>
    <cellStyle name="Percent 147" xfId="13137" xr:uid="{00000000-0005-0000-0000-00004A330000}"/>
    <cellStyle name="Percent 148" xfId="13138" xr:uid="{00000000-0005-0000-0000-00004B330000}"/>
    <cellStyle name="Percent 149" xfId="13139" xr:uid="{00000000-0005-0000-0000-00004C330000}"/>
    <cellStyle name="Percent 15" xfId="223" xr:uid="{00000000-0005-0000-0000-00004D330000}"/>
    <cellStyle name="Percent 15 2" xfId="13140" xr:uid="{00000000-0005-0000-0000-00004E330000}"/>
    <cellStyle name="Percent 150" xfId="285" xr:uid="{00000000-0005-0000-0000-00004F330000}"/>
    <cellStyle name="Percent 151" xfId="281" xr:uid="{00000000-0005-0000-0000-000050330000}"/>
    <cellStyle name="Percent 152" xfId="16779" xr:uid="{00000000-0005-0000-0000-000051330000}"/>
    <cellStyle name="Percent 153" xfId="16810" xr:uid="{00000000-0005-0000-0000-000052330000}"/>
    <cellStyle name="Percent 154" xfId="16783" xr:uid="{00000000-0005-0000-0000-000053330000}"/>
    <cellStyle name="Percent 155" xfId="16889" xr:uid="{00000000-0005-0000-0000-000054330000}"/>
    <cellStyle name="Percent 16" xfId="224" xr:uid="{00000000-0005-0000-0000-000055330000}"/>
    <cellStyle name="Percent 16 2" xfId="13141" xr:uid="{00000000-0005-0000-0000-000056330000}"/>
    <cellStyle name="Percent 17" xfId="225" xr:uid="{00000000-0005-0000-0000-000057330000}"/>
    <cellStyle name="Percent 17 2" xfId="13142" xr:uid="{00000000-0005-0000-0000-000058330000}"/>
    <cellStyle name="Percent 17 2 2" xfId="13143" xr:uid="{00000000-0005-0000-0000-000059330000}"/>
    <cellStyle name="Percent 17 2 2 2" xfId="13144" xr:uid="{00000000-0005-0000-0000-00005A330000}"/>
    <cellStyle name="Percent 18" xfId="226" xr:uid="{00000000-0005-0000-0000-00005B330000}"/>
    <cellStyle name="Percent 18 2" xfId="13145" xr:uid="{00000000-0005-0000-0000-00005C330000}"/>
    <cellStyle name="Percent 18 2 2" xfId="13146" xr:uid="{00000000-0005-0000-0000-00005D330000}"/>
    <cellStyle name="Percent 18 3" xfId="13147" xr:uid="{00000000-0005-0000-0000-00005E330000}"/>
    <cellStyle name="Percent 19" xfId="227" xr:uid="{00000000-0005-0000-0000-00005F330000}"/>
    <cellStyle name="Percent 19 2" xfId="13148" xr:uid="{00000000-0005-0000-0000-000060330000}"/>
    <cellStyle name="Percent 19 2 2" xfId="13149" xr:uid="{00000000-0005-0000-0000-000061330000}"/>
    <cellStyle name="Percent 19 3" xfId="13150" xr:uid="{00000000-0005-0000-0000-000062330000}"/>
    <cellStyle name="Percent 2" xfId="228" xr:uid="{00000000-0005-0000-0000-000063330000}"/>
    <cellStyle name="Percent 2 2" xfId="229" xr:uid="{00000000-0005-0000-0000-000064330000}"/>
    <cellStyle name="Percent 2 2 2" xfId="230" xr:uid="{00000000-0005-0000-0000-000065330000}"/>
    <cellStyle name="Percent 2 2 2 2" xfId="13151" xr:uid="{00000000-0005-0000-0000-000066330000}"/>
    <cellStyle name="Percent 2 2 2 3" xfId="13152" xr:uid="{00000000-0005-0000-0000-000067330000}"/>
    <cellStyle name="Percent 2 2 2 3 2" xfId="13153" xr:uid="{00000000-0005-0000-0000-000068330000}"/>
    <cellStyle name="Percent 2 2 3" xfId="13154" xr:uid="{00000000-0005-0000-0000-000069330000}"/>
    <cellStyle name="Percent 2 2 4" xfId="13155" xr:uid="{00000000-0005-0000-0000-00006A330000}"/>
    <cellStyle name="Percent 2 2 5" xfId="13156" xr:uid="{00000000-0005-0000-0000-00006B330000}"/>
    <cellStyle name="Percent 2 2 6" xfId="13157" xr:uid="{00000000-0005-0000-0000-00006C330000}"/>
    <cellStyle name="Percent 2 2 7" xfId="13158" xr:uid="{00000000-0005-0000-0000-00006D330000}"/>
    <cellStyle name="Percent 2 2 8" xfId="13159" xr:uid="{00000000-0005-0000-0000-00006E330000}"/>
    <cellStyle name="Percent 2 3" xfId="13160" xr:uid="{00000000-0005-0000-0000-00006F330000}"/>
    <cellStyle name="Percent 2 3 2" xfId="13161" xr:uid="{00000000-0005-0000-0000-000070330000}"/>
    <cellStyle name="Percent 2 4" xfId="13162" xr:uid="{00000000-0005-0000-0000-000071330000}"/>
    <cellStyle name="Percent 2 4 2" xfId="13163" xr:uid="{00000000-0005-0000-0000-000072330000}"/>
    <cellStyle name="Percent 2 5" xfId="13164" xr:uid="{00000000-0005-0000-0000-000073330000}"/>
    <cellStyle name="Percent 2 5 2" xfId="13165" xr:uid="{00000000-0005-0000-0000-000074330000}"/>
    <cellStyle name="Percent 2 6" xfId="13166" xr:uid="{00000000-0005-0000-0000-000075330000}"/>
    <cellStyle name="Percent 2 6 2" xfId="13167" xr:uid="{00000000-0005-0000-0000-000076330000}"/>
    <cellStyle name="Percent 2 7" xfId="13168" xr:uid="{00000000-0005-0000-0000-000077330000}"/>
    <cellStyle name="Percent 2 7 2" xfId="13169" xr:uid="{00000000-0005-0000-0000-000078330000}"/>
    <cellStyle name="Percent 2 8" xfId="13170" xr:uid="{00000000-0005-0000-0000-000079330000}"/>
    <cellStyle name="Percent 2 8 2" xfId="13171" xr:uid="{00000000-0005-0000-0000-00007A330000}"/>
    <cellStyle name="Percent 2 9" xfId="13172" xr:uid="{00000000-0005-0000-0000-00007B330000}"/>
    <cellStyle name="Percent 2 9 2" xfId="13173" xr:uid="{00000000-0005-0000-0000-00007C330000}"/>
    <cellStyle name="Percent 20" xfId="231" xr:uid="{00000000-0005-0000-0000-00007D330000}"/>
    <cellStyle name="Percent 21" xfId="232" xr:uid="{00000000-0005-0000-0000-00007E330000}"/>
    <cellStyle name="Percent 21 2" xfId="13174" xr:uid="{00000000-0005-0000-0000-00007F330000}"/>
    <cellStyle name="Percent 22" xfId="233" xr:uid="{00000000-0005-0000-0000-000080330000}"/>
    <cellStyle name="Percent 22 2" xfId="13175" xr:uid="{00000000-0005-0000-0000-000081330000}"/>
    <cellStyle name="Percent 23" xfId="234" xr:uid="{00000000-0005-0000-0000-000082330000}"/>
    <cellStyle name="Percent 23 2" xfId="13176" xr:uid="{00000000-0005-0000-0000-000083330000}"/>
    <cellStyle name="Percent 24" xfId="13177" xr:uid="{00000000-0005-0000-0000-000084330000}"/>
    <cellStyle name="Percent 25" xfId="13178" xr:uid="{00000000-0005-0000-0000-000085330000}"/>
    <cellStyle name="Percent 26" xfId="13179" xr:uid="{00000000-0005-0000-0000-000086330000}"/>
    <cellStyle name="Percent 26 2" xfId="13180" xr:uid="{00000000-0005-0000-0000-000087330000}"/>
    <cellStyle name="Percent 27" xfId="13181" xr:uid="{00000000-0005-0000-0000-000088330000}"/>
    <cellStyle name="Percent 27 2" xfId="13182" xr:uid="{00000000-0005-0000-0000-000089330000}"/>
    <cellStyle name="Percent 28" xfId="13183" xr:uid="{00000000-0005-0000-0000-00008A330000}"/>
    <cellStyle name="Percent 29" xfId="13184" xr:uid="{00000000-0005-0000-0000-00008B330000}"/>
    <cellStyle name="Percent 3" xfId="235" xr:uid="{00000000-0005-0000-0000-00008C330000}"/>
    <cellStyle name="Percent 3 2" xfId="236" xr:uid="{00000000-0005-0000-0000-00008D330000}"/>
    <cellStyle name="Percent 3 2 2" xfId="13185" xr:uid="{00000000-0005-0000-0000-00008E330000}"/>
    <cellStyle name="Percent 3 2 2 2" xfId="13186" xr:uid="{00000000-0005-0000-0000-00008F330000}"/>
    <cellStyle name="Percent 3 2 3" xfId="13187" xr:uid="{00000000-0005-0000-0000-000090330000}"/>
    <cellStyle name="Percent 3 3" xfId="13188" xr:uid="{00000000-0005-0000-0000-000091330000}"/>
    <cellStyle name="Percent 3 3 2" xfId="13189" xr:uid="{00000000-0005-0000-0000-000092330000}"/>
    <cellStyle name="Percent 3 3 2 2" xfId="13190" xr:uid="{00000000-0005-0000-0000-000093330000}"/>
    <cellStyle name="Percent 3 3 3" xfId="13191" xr:uid="{00000000-0005-0000-0000-000094330000}"/>
    <cellStyle name="Percent 3 3 3 2" xfId="13192" xr:uid="{00000000-0005-0000-0000-000095330000}"/>
    <cellStyle name="Percent 3 4" xfId="13193" xr:uid="{00000000-0005-0000-0000-000096330000}"/>
    <cellStyle name="Percent 3 4 2" xfId="13194" xr:uid="{00000000-0005-0000-0000-000097330000}"/>
    <cellStyle name="Percent 3 5" xfId="13195" xr:uid="{00000000-0005-0000-0000-000098330000}"/>
    <cellStyle name="Percent 30" xfId="13196" xr:uid="{00000000-0005-0000-0000-000099330000}"/>
    <cellStyle name="Percent 31" xfId="13197" xr:uid="{00000000-0005-0000-0000-00009A330000}"/>
    <cellStyle name="Percent 32" xfId="13198" xr:uid="{00000000-0005-0000-0000-00009B330000}"/>
    <cellStyle name="Percent 33" xfId="13199" xr:uid="{00000000-0005-0000-0000-00009C330000}"/>
    <cellStyle name="Percent 34" xfId="13200" xr:uid="{00000000-0005-0000-0000-00009D330000}"/>
    <cellStyle name="Percent 35" xfId="13201" xr:uid="{00000000-0005-0000-0000-00009E330000}"/>
    <cellStyle name="Percent 36" xfId="13202" xr:uid="{00000000-0005-0000-0000-00009F330000}"/>
    <cellStyle name="Percent 37" xfId="13203" xr:uid="{00000000-0005-0000-0000-0000A0330000}"/>
    <cellStyle name="Percent 38" xfId="13204" xr:uid="{00000000-0005-0000-0000-0000A1330000}"/>
    <cellStyle name="Percent 39" xfId="13205" xr:uid="{00000000-0005-0000-0000-0000A2330000}"/>
    <cellStyle name="Percent 4" xfId="237" xr:uid="{00000000-0005-0000-0000-0000A3330000}"/>
    <cellStyle name="Percent 4 2" xfId="238" xr:uid="{00000000-0005-0000-0000-0000A4330000}"/>
    <cellStyle name="Percent 4 2 2" xfId="239" xr:uid="{00000000-0005-0000-0000-0000A5330000}"/>
    <cellStyle name="Percent 4 2 2 2" xfId="13206" xr:uid="{00000000-0005-0000-0000-0000A6330000}"/>
    <cellStyle name="Percent 4 2 2 3" xfId="13207" xr:uid="{00000000-0005-0000-0000-0000A7330000}"/>
    <cellStyle name="Percent 4 2 3" xfId="13208" xr:uid="{00000000-0005-0000-0000-0000A8330000}"/>
    <cellStyle name="Percent 4 2 3 2" xfId="13209" xr:uid="{00000000-0005-0000-0000-0000A9330000}"/>
    <cellStyle name="Percent 4 2 3 2 2" xfId="13210" xr:uid="{00000000-0005-0000-0000-0000AA330000}"/>
    <cellStyle name="Percent 4 2 3 2 2 2" xfId="13211" xr:uid="{00000000-0005-0000-0000-0000AB330000}"/>
    <cellStyle name="Percent 4 2 3 2 3" xfId="13212" xr:uid="{00000000-0005-0000-0000-0000AC330000}"/>
    <cellStyle name="Percent 4 2 3 2 3 2" xfId="13213" xr:uid="{00000000-0005-0000-0000-0000AD330000}"/>
    <cellStyle name="Percent 4 2 3 2 4" xfId="13214" xr:uid="{00000000-0005-0000-0000-0000AE330000}"/>
    <cellStyle name="Percent 4 2 3 3" xfId="13215" xr:uid="{00000000-0005-0000-0000-0000AF330000}"/>
    <cellStyle name="Percent 4 2 3 3 2" xfId="13216" xr:uid="{00000000-0005-0000-0000-0000B0330000}"/>
    <cellStyle name="Percent 4 2 3 3 2 2" xfId="13217" xr:uid="{00000000-0005-0000-0000-0000B1330000}"/>
    <cellStyle name="Percent 4 2 3 3 3" xfId="13218" xr:uid="{00000000-0005-0000-0000-0000B2330000}"/>
    <cellStyle name="Percent 4 2 3 4" xfId="13219" xr:uid="{00000000-0005-0000-0000-0000B3330000}"/>
    <cellStyle name="Percent 4 2 3 4 2" xfId="13220" xr:uid="{00000000-0005-0000-0000-0000B4330000}"/>
    <cellStyle name="Percent 4 2 3 5" xfId="13221" xr:uid="{00000000-0005-0000-0000-0000B5330000}"/>
    <cellStyle name="Percent 4 2 3 5 2" xfId="13222" xr:uid="{00000000-0005-0000-0000-0000B6330000}"/>
    <cellStyle name="Percent 4 2 3 6" xfId="13223" xr:uid="{00000000-0005-0000-0000-0000B7330000}"/>
    <cellStyle name="Percent 4 2 4" xfId="13224" xr:uid="{00000000-0005-0000-0000-0000B8330000}"/>
    <cellStyle name="Percent 4 2 4 2" xfId="13225" xr:uid="{00000000-0005-0000-0000-0000B9330000}"/>
    <cellStyle name="Percent 4 2 4 2 2" xfId="13226" xr:uid="{00000000-0005-0000-0000-0000BA330000}"/>
    <cellStyle name="Percent 4 2 4 3" xfId="13227" xr:uid="{00000000-0005-0000-0000-0000BB330000}"/>
    <cellStyle name="Percent 4 2 4 3 2" xfId="13228" xr:uid="{00000000-0005-0000-0000-0000BC330000}"/>
    <cellStyle name="Percent 4 2 4 4" xfId="13229" xr:uid="{00000000-0005-0000-0000-0000BD330000}"/>
    <cellStyle name="Percent 4 2 5" xfId="13230" xr:uid="{00000000-0005-0000-0000-0000BE330000}"/>
    <cellStyle name="Percent 4 2 5 2" xfId="13231" xr:uid="{00000000-0005-0000-0000-0000BF330000}"/>
    <cellStyle name="Percent 4 2 5 2 2" xfId="13232" xr:uid="{00000000-0005-0000-0000-0000C0330000}"/>
    <cellStyle name="Percent 4 2 5 3" xfId="13233" xr:uid="{00000000-0005-0000-0000-0000C1330000}"/>
    <cellStyle name="Percent 4 2 6" xfId="13234" xr:uid="{00000000-0005-0000-0000-0000C2330000}"/>
    <cellStyle name="Percent 4 2 6 2" xfId="13235" xr:uid="{00000000-0005-0000-0000-0000C3330000}"/>
    <cellStyle name="Percent 4 2 7" xfId="13236" xr:uid="{00000000-0005-0000-0000-0000C4330000}"/>
    <cellStyle name="Percent 4 2 7 2" xfId="13237" xr:uid="{00000000-0005-0000-0000-0000C5330000}"/>
    <cellStyle name="Percent 4 2 8" xfId="13238" xr:uid="{00000000-0005-0000-0000-0000C6330000}"/>
    <cellStyle name="Percent 4 3" xfId="240" xr:uid="{00000000-0005-0000-0000-0000C7330000}"/>
    <cellStyle name="Percent 4 3 2" xfId="241" xr:uid="{00000000-0005-0000-0000-0000C8330000}"/>
    <cellStyle name="Percent 4 3 2 2" xfId="13239" xr:uid="{00000000-0005-0000-0000-0000C9330000}"/>
    <cellStyle name="Percent 4 3 2 2 2" xfId="13240" xr:uid="{00000000-0005-0000-0000-0000CA330000}"/>
    <cellStyle name="Percent 4 3 2 3" xfId="13241" xr:uid="{00000000-0005-0000-0000-0000CB330000}"/>
    <cellStyle name="Percent 4 3 3" xfId="13242" xr:uid="{00000000-0005-0000-0000-0000CC330000}"/>
    <cellStyle name="Percent 4 3 3 2" xfId="13243" xr:uid="{00000000-0005-0000-0000-0000CD330000}"/>
    <cellStyle name="Percent 4 4" xfId="242" xr:uid="{00000000-0005-0000-0000-0000CE330000}"/>
    <cellStyle name="Percent 4 4 2" xfId="13244" xr:uid="{00000000-0005-0000-0000-0000CF330000}"/>
    <cellStyle name="Percent 4 5" xfId="13245" xr:uid="{00000000-0005-0000-0000-0000D0330000}"/>
    <cellStyle name="Percent 4 5 2" xfId="13246" xr:uid="{00000000-0005-0000-0000-0000D1330000}"/>
    <cellStyle name="Percent 4 5 2 2" xfId="13247" xr:uid="{00000000-0005-0000-0000-0000D2330000}"/>
    <cellStyle name="Percent 4 5 3" xfId="13248" xr:uid="{00000000-0005-0000-0000-0000D3330000}"/>
    <cellStyle name="Percent 4 6" xfId="13249" xr:uid="{00000000-0005-0000-0000-0000D4330000}"/>
    <cellStyle name="Percent 4 7" xfId="13250" xr:uid="{00000000-0005-0000-0000-0000D5330000}"/>
    <cellStyle name="Percent 40" xfId="13251" xr:uid="{00000000-0005-0000-0000-0000D6330000}"/>
    <cellStyle name="Percent 41" xfId="13252" xr:uid="{00000000-0005-0000-0000-0000D7330000}"/>
    <cellStyle name="Percent 41 2" xfId="13253" xr:uid="{00000000-0005-0000-0000-0000D8330000}"/>
    <cellStyle name="Percent 41 2 2" xfId="13254" xr:uid="{00000000-0005-0000-0000-0000D9330000}"/>
    <cellStyle name="Percent 41 2 2 2" xfId="13255" xr:uid="{00000000-0005-0000-0000-0000DA330000}"/>
    <cellStyle name="Percent 41 2 2 2 2" xfId="13256" xr:uid="{00000000-0005-0000-0000-0000DB330000}"/>
    <cellStyle name="Percent 41 2 2 2 2 2" xfId="13257" xr:uid="{00000000-0005-0000-0000-0000DC330000}"/>
    <cellStyle name="Percent 41 2 2 2 3" xfId="13258" xr:uid="{00000000-0005-0000-0000-0000DD330000}"/>
    <cellStyle name="Percent 41 2 2 2 3 2" xfId="13259" xr:uid="{00000000-0005-0000-0000-0000DE330000}"/>
    <cellStyle name="Percent 41 2 2 2 4" xfId="13260" xr:uid="{00000000-0005-0000-0000-0000DF330000}"/>
    <cellStyle name="Percent 41 2 2 3" xfId="13261" xr:uid="{00000000-0005-0000-0000-0000E0330000}"/>
    <cellStyle name="Percent 41 2 2 3 2" xfId="13262" xr:uid="{00000000-0005-0000-0000-0000E1330000}"/>
    <cellStyle name="Percent 41 2 2 3 2 2" xfId="13263" xr:uid="{00000000-0005-0000-0000-0000E2330000}"/>
    <cellStyle name="Percent 41 2 2 3 3" xfId="13264" xr:uid="{00000000-0005-0000-0000-0000E3330000}"/>
    <cellStyle name="Percent 41 2 2 4" xfId="13265" xr:uid="{00000000-0005-0000-0000-0000E4330000}"/>
    <cellStyle name="Percent 41 2 2 4 2" xfId="13266" xr:uid="{00000000-0005-0000-0000-0000E5330000}"/>
    <cellStyle name="Percent 41 2 2 5" xfId="13267" xr:uid="{00000000-0005-0000-0000-0000E6330000}"/>
    <cellStyle name="Percent 41 2 2 5 2" xfId="13268" xr:uid="{00000000-0005-0000-0000-0000E7330000}"/>
    <cellStyle name="Percent 41 2 2 6" xfId="13269" xr:uid="{00000000-0005-0000-0000-0000E8330000}"/>
    <cellStyle name="Percent 41 2 3" xfId="13270" xr:uid="{00000000-0005-0000-0000-0000E9330000}"/>
    <cellStyle name="Percent 41 2 3 2" xfId="13271" xr:uid="{00000000-0005-0000-0000-0000EA330000}"/>
    <cellStyle name="Percent 41 2 3 2 2" xfId="13272" xr:uid="{00000000-0005-0000-0000-0000EB330000}"/>
    <cellStyle name="Percent 41 2 3 3" xfId="13273" xr:uid="{00000000-0005-0000-0000-0000EC330000}"/>
    <cellStyle name="Percent 41 2 3 3 2" xfId="13274" xr:uid="{00000000-0005-0000-0000-0000ED330000}"/>
    <cellStyle name="Percent 41 2 3 4" xfId="13275" xr:uid="{00000000-0005-0000-0000-0000EE330000}"/>
    <cellStyle name="Percent 41 2 4" xfId="13276" xr:uid="{00000000-0005-0000-0000-0000EF330000}"/>
    <cellStyle name="Percent 41 2 4 2" xfId="13277" xr:uid="{00000000-0005-0000-0000-0000F0330000}"/>
    <cellStyle name="Percent 41 2 4 2 2" xfId="13278" xr:uid="{00000000-0005-0000-0000-0000F1330000}"/>
    <cellStyle name="Percent 41 2 4 3" xfId="13279" xr:uid="{00000000-0005-0000-0000-0000F2330000}"/>
    <cellStyle name="Percent 41 2 5" xfId="13280" xr:uid="{00000000-0005-0000-0000-0000F3330000}"/>
    <cellStyle name="Percent 41 2 5 2" xfId="13281" xr:uid="{00000000-0005-0000-0000-0000F4330000}"/>
    <cellStyle name="Percent 41 2 6" xfId="13282" xr:uid="{00000000-0005-0000-0000-0000F5330000}"/>
    <cellStyle name="Percent 41 2 6 2" xfId="13283" xr:uid="{00000000-0005-0000-0000-0000F6330000}"/>
    <cellStyle name="Percent 41 2 7" xfId="13284" xr:uid="{00000000-0005-0000-0000-0000F7330000}"/>
    <cellStyle name="Percent 41 3" xfId="13285" xr:uid="{00000000-0005-0000-0000-0000F8330000}"/>
    <cellStyle name="Percent 41 3 2" xfId="13286" xr:uid="{00000000-0005-0000-0000-0000F9330000}"/>
    <cellStyle name="Percent 41 3 2 2" xfId="13287" xr:uid="{00000000-0005-0000-0000-0000FA330000}"/>
    <cellStyle name="Percent 41 3 2 2 2" xfId="13288" xr:uid="{00000000-0005-0000-0000-0000FB330000}"/>
    <cellStyle name="Percent 41 3 2 3" xfId="13289" xr:uid="{00000000-0005-0000-0000-0000FC330000}"/>
    <cellStyle name="Percent 41 3 2 3 2" xfId="13290" xr:uid="{00000000-0005-0000-0000-0000FD330000}"/>
    <cellStyle name="Percent 41 3 2 4" xfId="13291" xr:uid="{00000000-0005-0000-0000-0000FE330000}"/>
    <cellStyle name="Percent 41 3 3" xfId="13292" xr:uid="{00000000-0005-0000-0000-0000FF330000}"/>
    <cellStyle name="Percent 41 3 3 2" xfId="13293" xr:uid="{00000000-0005-0000-0000-000000340000}"/>
    <cellStyle name="Percent 41 3 3 2 2" xfId="13294" xr:uid="{00000000-0005-0000-0000-000001340000}"/>
    <cellStyle name="Percent 41 3 3 3" xfId="13295" xr:uid="{00000000-0005-0000-0000-000002340000}"/>
    <cellStyle name="Percent 41 3 4" xfId="13296" xr:uid="{00000000-0005-0000-0000-000003340000}"/>
    <cellStyle name="Percent 41 3 4 2" xfId="13297" xr:uid="{00000000-0005-0000-0000-000004340000}"/>
    <cellStyle name="Percent 41 3 5" xfId="13298" xr:uid="{00000000-0005-0000-0000-000005340000}"/>
    <cellStyle name="Percent 41 3 5 2" xfId="13299" xr:uid="{00000000-0005-0000-0000-000006340000}"/>
    <cellStyle name="Percent 41 3 6" xfId="13300" xr:uid="{00000000-0005-0000-0000-000007340000}"/>
    <cellStyle name="Percent 41 4" xfId="13301" xr:uid="{00000000-0005-0000-0000-000008340000}"/>
    <cellStyle name="Percent 41 4 2" xfId="13302" xr:uid="{00000000-0005-0000-0000-000009340000}"/>
    <cellStyle name="Percent 41 4 2 2" xfId="13303" xr:uid="{00000000-0005-0000-0000-00000A340000}"/>
    <cellStyle name="Percent 41 4 3" xfId="13304" xr:uid="{00000000-0005-0000-0000-00000B340000}"/>
    <cellStyle name="Percent 41 4 3 2" xfId="13305" xr:uid="{00000000-0005-0000-0000-00000C340000}"/>
    <cellStyle name="Percent 41 4 4" xfId="13306" xr:uid="{00000000-0005-0000-0000-00000D340000}"/>
    <cellStyle name="Percent 41 5" xfId="13307" xr:uid="{00000000-0005-0000-0000-00000E340000}"/>
    <cellStyle name="Percent 41 5 2" xfId="13308" xr:uid="{00000000-0005-0000-0000-00000F340000}"/>
    <cellStyle name="Percent 41 5 2 2" xfId="13309" xr:uid="{00000000-0005-0000-0000-000010340000}"/>
    <cellStyle name="Percent 41 5 3" xfId="13310" xr:uid="{00000000-0005-0000-0000-000011340000}"/>
    <cellStyle name="Percent 41 6" xfId="13311" xr:uid="{00000000-0005-0000-0000-000012340000}"/>
    <cellStyle name="Percent 41 6 2" xfId="13312" xr:uid="{00000000-0005-0000-0000-000013340000}"/>
    <cellStyle name="Percent 41 7" xfId="13313" xr:uid="{00000000-0005-0000-0000-000014340000}"/>
    <cellStyle name="Percent 41 7 2" xfId="13314" xr:uid="{00000000-0005-0000-0000-000015340000}"/>
    <cellStyle name="Percent 41 8" xfId="13315" xr:uid="{00000000-0005-0000-0000-000016340000}"/>
    <cellStyle name="Percent 42" xfId="13316" xr:uid="{00000000-0005-0000-0000-000017340000}"/>
    <cellStyle name="Percent 42 2" xfId="13317" xr:uid="{00000000-0005-0000-0000-000018340000}"/>
    <cellStyle name="Percent 42 2 2" xfId="13318" xr:uid="{00000000-0005-0000-0000-000019340000}"/>
    <cellStyle name="Percent 42 2 2 2" xfId="13319" xr:uid="{00000000-0005-0000-0000-00001A340000}"/>
    <cellStyle name="Percent 42 2 2 2 2" xfId="13320" xr:uid="{00000000-0005-0000-0000-00001B340000}"/>
    <cellStyle name="Percent 42 2 2 2 2 2" xfId="13321" xr:uid="{00000000-0005-0000-0000-00001C340000}"/>
    <cellStyle name="Percent 42 2 2 2 3" xfId="13322" xr:uid="{00000000-0005-0000-0000-00001D340000}"/>
    <cellStyle name="Percent 42 2 2 2 3 2" xfId="13323" xr:uid="{00000000-0005-0000-0000-00001E340000}"/>
    <cellStyle name="Percent 42 2 2 2 4" xfId="13324" xr:uid="{00000000-0005-0000-0000-00001F340000}"/>
    <cellStyle name="Percent 42 2 2 3" xfId="13325" xr:uid="{00000000-0005-0000-0000-000020340000}"/>
    <cellStyle name="Percent 42 2 2 3 2" xfId="13326" xr:uid="{00000000-0005-0000-0000-000021340000}"/>
    <cellStyle name="Percent 42 2 2 3 2 2" xfId="13327" xr:uid="{00000000-0005-0000-0000-000022340000}"/>
    <cellStyle name="Percent 42 2 2 3 3" xfId="13328" xr:uid="{00000000-0005-0000-0000-000023340000}"/>
    <cellStyle name="Percent 42 2 2 4" xfId="13329" xr:uid="{00000000-0005-0000-0000-000024340000}"/>
    <cellStyle name="Percent 42 2 2 4 2" xfId="13330" xr:uid="{00000000-0005-0000-0000-000025340000}"/>
    <cellStyle name="Percent 42 2 2 5" xfId="13331" xr:uid="{00000000-0005-0000-0000-000026340000}"/>
    <cellStyle name="Percent 42 2 2 5 2" xfId="13332" xr:uid="{00000000-0005-0000-0000-000027340000}"/>
    <cellStyle name="Percent 42 2 2 6" xfId="13333" xr:uid="{00000000-0005-0000-0000-000028340000}"/>
    <cellStyle name="Percent 42 2 3" xfId="13334" xr:uid="{00000000-0005-0000-0000-000029340000}"/>
    <cellStyle name="Percent 42 2 3 2" xfId="13335" xr:uid="{00000000-0005-0000-0000-00002A340000}"/>
    <cellStyle name="Percent 42 2 3 2 2" xfId="13336" xr:uid="{00000000-0005-0000-0000-00002B340000}"/>
    <cellStyle name="Percent 42 2 3 3" xfId="13337" xr:uid="{00000000-0005-0000-0000-00002C340000}"/>
    <cellStyle name="Percent 42 2 3 3 2" xfId="13338" xr:uid="{00000000-0005-0000-0000-00002D340000}"/>
    <cellStyle name="Percent 42 2 3 4" xfId="13339" xr:uid="{00000000-0005-0000-0000-00002E340000}"/>
    <cellStyle name="Percent 42 2 4" xfId="13340" xr:uid="{00000000-0005-0000-0000-00002F340000}"/>
    <cellStyle name="Percent 42 2 4 2" xfId="13341" xr:uid="{00000000-0005-0000-0000-000030340000}"/>
    <cellStyle name="Percent 42 2 4 2 2" xfId="13342" xr:uid="{00000000-0005-0000-0000-000031340000}"/>
    <cellStyle name="Percent 42 2 4 3" xfId="13343" xr:uid="{00000000-0005-0000-0000-000032340000}"/>
    <cellStyle name="Percent 42 2 5" xfId="13344" xr:uid="{00000000-0005-0000-0000-000033340000}"/>
    <cellStyle name="Percent 42 2 5 2" xfId="13345" xr:uid="{00000000-0005-0000-0000-000034340000}"/>
    <cellStyle name="Percent 42 2 6" xfId="13346" xr:uid="{00000000-0005-0000-0000-000035340000}"/>
    <cellStyle name="Percent 42 2 6 2" xfId="13347" xr:uid="{00000000-0005-0000-0000-000036340000}"/>
    <cellStyle name="Percent 42 2 7" xfId="13348" xr:uid="{00000000-0005-0000-0000-000037340000}"/>
    <cellStyle name="Percent 42 3" xfId="13349" xr:uid="{00000000-0005-0000-0000-000038340000}"/>
    <cellStyle name="Percent 42 3 2" xfId="13350" xr:uid="{00000000-0005-0000-0000-000039340000}"/>
    <cellStyle name="Percent 42 3 2 2" xfId="13351" xr:uid="{00000000-0005-0000-0000-00003A340000}"/>
    <cellStyle name="Percent 42 3 2 2 2" xfId="13352" xr:uid="{00000000-0005-0000-0000-00003B340000}"/>
    <cellStyle name="Percent 42 3 2 3" xfId="13353" xr:uid="{00000000-0005-0000-0000-00003C340000}"/>
    <cellStyle name="Percent 42 3 2 3 2" xfId="13354" xr:uid="{00000000-0005-0000-0000-00003D340000}"/>
    <cellStyle name="Percent 42 3 2 4" xfId="13355" xr:uid="{00000000-0005-0000-0000-00003E340000}"/>
    <cellStyle name="Percent 42 3 3" xfId="13356" xr:uid="{00000000-0005-0000-0000-00003F340000}"/>
    <cellStyle name="Percent 42 3 3 2" xfId="13357" xr:uid="{00000000-0005-0000-0000-000040340000}"/>
    <cellStyle name="Percent 42 3 3 2 2" xfId="13358" xr:uid="{00000000-0005-0000-0000-000041340000}"/>
    <cellStyle name="Percent 42 3 3 3" xfId="13359" xr:uid="{00000000-0005-0000-0000-000042340000}"/>
    <cellStyle name="Percent 42 3 4" xfId="13360" xr:uid="{00000000-0005-0000-0000-000043340000}"/>
    <cellStyle name="Percent 42 3 4 2" xfId="13361" xr:uid="{00000000-0005-0000-0000-000044340000}"/>
    <cellStyle name="Percent 42 3 5" xfId="13362" xr:uid="{00000000-0005-0000-0000-000045340000}"/>
    <cellStyle name="Percent 42 3 5 2" xfId="13363" xr:uid="{00000000-0005-0000-0000-000046340000}"/>
    <cellStyle name="Percent 42 3 6" xfId="13364" xr:uid="{00000000-0005-0000-0000-000047340000}"/>
    <cellStyle name="Percent 42 4" xfId="13365" xr:uid="{00000000-0005-0000-0000-000048340000}"/>
    <cellStyle name="Percent 42 4 2" xfId="13366" xr:uid="{00000000-0005-0000-0000-000049340000}"/>
    <cellStyle name="Percent 42 4 2 2" xfId="13367" xr:uid="{00000000-0005-0000-0000-00004A340000}"/>
    <cellStyle name="Percent 42 4 3" xfId="13368" xr:uid="{00000000-0005-0000-0000-00004B340000}"/>
    <cellStyle name="Percent 42 4 3 2" xfId="13369" xr:uid="{00000000-0005-0000-0000-00004C340000}"/>
    <cellStyle name="Percent 42 4 4" xfId="13370" xr:uid="{00000000-0005-0000-0000-00004D340000}"/>
    <cellStyle name="Percent 42 5" xfId="13371" xr:uid="{00000000-0005-0000-0000-00004E340000}"/>
    <cellStyle name="Percent 42 5 2" xfId="13372" xr:uid="{00000000-0005-0000-0000-00004F340000}"/>
    <cellStyle name="Percent 42 5 2 2" xfId="13373" xr:uid="{00000000-0005-0000-0000-000050340000}"/>
    <cellStyle name="Percent 42 5 3" xfId="13374" xr:uid="{00000000-0005-0000-0000-000051340000}"/>
    <cellStyle name="Percent 42 6" xfId="13375" xr:uid="{00000000-0005-0000-0000-000052340000}"/>
    <cellStyle name="Percent 42 6 2" xfId="13376" xr:uid="{00000000-0005-0000-0000-000053340000}"/>
    <cellStyle name="Percent 42 7" xfId="13377" xr:uid="{00000000-0005-0000-0000-000054340000}"/>
    <cellStyle name="Percent 42 7 2" xfId="13378" xr:uid="{00000000-0005-0000-0000-000055340000}"/>
    <cellStyle name="Percent 42 8" xfId="13379" xr:uid="{00000000-0005-0000-0000-000056340000}"/>
    <cellStyle name="Percent 43" xfId="13380" xr:uid="{00000000-0005-0000-0000-000057340000}"/>
    <cellStyle name="Percent 43 2" xfId="13381" xr:uid="{00000000-0005-0000-0000-000058340000}"/>
    <cellStyle name="Percent 43 2 2" xfId="13382" xr:uid="{00000000-0005-0000-0000-000059340000}"/>
    <cellStyle name="Percent 43 2 2 2" xfId="13383" xr:uid="{00000000-0005-0000-0000-00005A340000}"/>
    <cellStyle name="Percent 43 2 2 2 2" xfId="13384" xr:uid="{00000000-0005-0000-0000-00005B340000}"/>
    <cellStyle name="Percent 43 2 2 2 2 2" xfId="13385" xr:uid="{00000000-0005-0000-0000-00005C340000}"/>
    <cellStyle name="Percent 43 2 2 2 3" xfId="13386" xr:uid="{00000000-0005-0000-0000-00005D340000}"/>
    <cellStyle name="Percent 43 2 2 2 3 2" xfId="13387" xr:uid="{00000000-0005-0000-0000-00005E340000}"/>
    <cellStyle name="Percent 43 2 2 2 4" xfId="13388" xr:uid="{00000000-0005-0000-0000-00005F340000}"/>
    <cellStyle name="Percent 43 2 2 3" xfId="13389" xr:uid="{00000000-0005-0000-0000-000060340000}"/>
    <cellStyle name="Percent 43 2 2 3 2" xfId="13390" xr:uid="{00000000-0005-0000-0000-000061340000}"/>
    <cellStyle name="Percent 43 2 2 3 2 2" xfId="13391" xr:uid="{00000000-0005-0000-0000-000062340000}"/>
    <cellStyle name="Percent 43 2 2 3 3" xfId="13392" xr:uid="{00000000-0005-0000-0000-000063340000}"/>
    <cellStyle name="Percent 43 2 2 4" xfId="13393" xr:uid="{00000000-0005-0000-0000-000064340000}"/>
    <cellStyle name="Percent 43 2 2 4 2" xfId="13394" xr:uid="{00000000-0005-0000-0000-000065340000}"/>
    <cellStyle name="Percent 43 2 2 5" xfId="13395" xr:uid="{00000000-0005-0000-0000-000066340000}"/>
    <cellStyle name="Percent 43 2 2 5 2" xfId="13396" xr:uid="{00000000-0005-0000-0000-000067340000}"/>
    <cellStyle name="Percent 43 2 2 6" xfId="13397" xr:uid="{00000000-0005-0000-0000-000068340000}"/>
    <cellStyle name="Percent 43 2 3" xfId="13398" xr:uid="{00000000-0005-0000-0000-000069340000}"/>
    <cellStyle name="Percent 43 2 3 2" xfId="13399" xr:uid="{00000000-0005-0000-0000-00006A340000}"/>
    <cellStyle name="Percent 43 2 3 2 2" xfId="13400" xr:uid="{00000000-0005-0000-0000-00006B340000}"/>
    <cellStyle name="Percent 43 2 3 3" xfId="13401" xr:uid="{00000000-0005-0000-0000-00006C340000}"/>
    <cellStyle name="Percent 43 2 3 3 2" xfId="13402" xr:uid="{00000000-0005-0000-0000-00006D340000}"/>
    <cellStyle name="Percent 43 2 3 4" xfId="13403" xr:uid="{00000000-0005-0000-0000-00006E340000}"/>
    <cellStyle name="Percent 43 2 4" xfId="13404" xr:uid="{00000000-0005-0000-0000-00006F340000}"/>
    <cellStyle name="Percent 43 2 4 2" xfId="13405" xr:uid="{00000000-0005-0000-0000-000070340000}"/>
    <cellStyle name="Percent 43 2 4 2 2" xfId="13406" xr:uid="{00000000-0005-0000-0000-000071340000}"/>
    <cellStyle name="Percent 43 2 4 3" xfId="13407" xr:uid="{00000000-0005-0000-0000-000072340000}"/>
    <cellStyle name="Percent 43 2 5" xfId="13408" xr:uid="{00000000-0005-0000-0000-000073340000}"/>
    <cellStyle name="Percent 43 2 5 2" xfId="13409" xr:uid="{00000000-0005-0000-0000-000074340000}"/>
    <cellStyle name="Percent 43 2 6" xfId="13410" xr:uid="{00000000-0005-0000-0000-000075340000}"/>
    <cellStyle name="Percent 43 2 6 2" xfId="13411" xr:uid="{00000000-0005-0000-0000-000076340000}"/>
    <cellStyle name="Percent 43 2 7" xfId="13412" xr:uid="{00000000-0005-0000-0000-000077340000}"/>
    <cellStyle name="Percent 43 3" xfId="13413" xr:uid="{00000000-0005-0000-0000-000078340000}"/>
    <cellStyle name="Percent 43 3 2" xfId="13414" xr:uid="{00000000-0005-0000-0000-000079340000}"/>
    <cellStyle name="Percent 43 3 2 2" xfId="13415" xr:uid="{00000000-0005-0000-0000-00007A340000}"/>
    <cellStyle name="Percent 43 3 2 2 2" xfId="13416" xr:uid="{00000000-0005-0000-0000-00007B340000}"/>
    <cellStyle name="Percent 43 3 2 3" xfId="13417" xr:uid="{00000000-0005-0000-0000-00007C340000}"/>
    <cellStyle name="Percent 43 3 2 3 2" xfId="13418" xr:uid="{00000000-0005-0000-0000-00007D340000}"/>
    <cellStyle name="Percent 43 3 2 4" xfId="13419" xr:uid="{00000000-0005-0000-0000-00007E340000}"/>
    <cellStyle name="Percent 43 3 3" xfId="13420" xr:uid="{00000000-0005-0000-0000-00007F340000}"/>
    <cellStyle name="Percent 43 3 3 2" xfId="13421" xr:uid="{00000000-0005-0000-0000-000080340000}"/>
    <cellStyle name="Percent 43 3 3 2 2" xfId="13422" xr:uid="{00000000-0005-0000-0000-000081340000}"/>
    <cellStyle name="Percent 43 3 3 3" xfId="13423" xr:uid="{00000000-0005-0000-0000-000082340000}"/>
    <cellStyle name="Percent 43 3 4" xfId="13424" xr:uid="{00000000-0005-0000-0000-000083340000}"/>
    <cellStyle name="Percent 43 3 4 2" xfId="13425" xr:uid="{00000000-0005-0000-0000-000084340000}"/>
    <cellStyle name="Percent 43 3 5" xfId="13426" xr:uid="{00000000-0005-0000-0000-000085340000}"/>
    <cellStyle name="Percent 43 3 5 2" xfId="13427" xr:uid="{00000000-0005-0000-0000-000086340000}"/>
    <cellStyle name="Percent 43 3 6" xfId="13428" xr:uid="{00000000-0005-0000-0000-000087340000}"/>
    <cellStyle name="Percent 43 4" xfId="13429" xr:uid="{00000000-0005-0000-0000-000088340000}"/>
    <cellStyle name="Percent 43 4 2" xfId="13430" xr:uid="{00000000-0005-0000-0000-000089340000}"/>
    <cellStyle name="Percent 43 4 2 2" xfId="13431" xr:uid="{00000000-0005-0000-0000-00008A340000}"/>
    <cellStyle name="Percent 43 4 3" xfId="13432" xr:uid="{00000000-0005-0000-0000-00008B340000}"/>
    <cellStyle name="Percent 43 4 3 2" xfId="13433" xr:uid="{00000000-0005-0000-0000-00008C340000}"/>
    <cellStyle name="Percent 43 4 4" xfId="13434" xr:uid="{00000000-0005-0000-0000-00008D340000}"/>
    <cellStyle name="Percent 43 5" xfId="13435" xr:uid="{00000000-0005-0000-0000-00008E340000}"/>
    <cellStyle name="Percent 43 5 2" xfId="13436" xr:uid="{00000000-0005-0000-0000-00008F340000}"/>
    <cellStyle name="Percent 43 5 2 2" xfId="13437" xr:uid="{00000000-0005-0000-0000-000090340000}"/>
    <cellStyle name="Percent 43 5 3" xfId="13438" xr:uid="{00000000-0005-0000-0000-000091340000}"/>
    <cellStyle name="Percent 43 6" xfId="13439" xr:uid="{00000000-0005-0000-0000-000092340000}"/>
    <cellStyle name="Percent 43 6 2" xfId="13440" xr:uid="{00000000-0005-0000-0000-000093340000}"/>
    <cellStyle name="Percent 43 7" xfId="13441" xr:uid="{00000000-0005-0000-0000-000094340000}"/>
    <cellStyle name="Percent 43 7 2" xfId="13442" xr:uid="{00000000-0005-0000-0000-000095340000}"/>
    <cellStyle name="Percent 43 8" xfId="13443" xr:uid="{00000000-0005-0000-0000-000096340000}"/>
    <cellStyle name="Percent 44" xfId="13444" xr:uid="{00000000-0005-0000-0000-000097340000}"/>
    <cellStyle name="Percent 44 2" xfId="13445" xr:uid="{00000000-0005-0000-0000-000098340000}"/>
    <cellStyle name="Percent 44 2 2" xfId="13446" xr:uid="{00000000-0005-0000-0000-000099340000}"/>
    <cellStyle name="Percent 44 2 2 2" xfId="13447" xr:uid="{00000000-0005-0000-0000-00009A340000}"/>
    <cellStyle name="Percent 44 2 2 2 2" xfId="13448" xr:uid="{00000000-0005-0000-0000-00009B340000}"/>
    <cellStyle name="Percent 44 2 2 2 2 2" xfId="13449" xr:uid="{00000000-0005-0000-0000-00009C340000}"/>
    <cellStyle name="Percent 44 2 2 2 3" xfId="13450" xr:uid="{00000000-0005-0000-0000-00009D340000}"/>
    <cellStyle name="Percent 44 2 2 2 3 2" xfId="13451" xr:uid="{00000000-0005-0000-0000-00009E340000}"/>
    <cellStyle name="Percent 44 2 2 2 4" xfId="13452" xr:uid="{00000000-0005-0000-0000-00009F340000}"/>
    <cellStyle name="Percent 44 2 2 3" xfId="13453" xr:uid="{00000000-0005-0000-0000-0000A0340000}"/>
    <cellStyle name="Percent 44 2 2 3 2" xfId="13454" xr:uid="{00000000-0005-0000-0000-0000A1340000}"/>
    <cellStyle name="Percent 44 2 2 3 2 2" xfId="13455" xr:uid="{00000000-0005-0000-0000-0000A2340000}"/>
    <cellStyle name="Percent 44 2 2 3 3" xfId="13456" xr:uid="{00000000-0005-0000-0000-0000A3340000}"/>
    <cellStyle name="Percent 44 2 2 4" xfId="13457" xr:uid="{00000000-0005-0000-0000-0000A4340000}"/>
    <cellStyle name="Percent 44 2 2 4 2" xfId="13458" xr:uid="{00000000-0005-0000-0000-0000A5340000}"/>
    <cellStyle name="Percent 44 2 2 5" xfId="13459" xr:uid="{00000000-0005-0000-0000-0000A6340000}"/>
    <cellStyle name="Percent 44 2 2 5 2" xfId="13460" xr:uid="{00000000-0005-0000-0000-0000A7340000}"/>
    <cellStyle name="Percent 44 2 2 6" xfId="13461" xr:uid="{00000000-0005-0000-0000-0000A8340000}"/>
    <cellStyle name="Percent 44 2 3" xfId="13462" xr:uid="{00000000-0005-0000-0000-0000A9340000}"/>
    <cellStyle name="Percent 44 2 3 2" xfId="13463" xr:uid="{00000000-0005-0000-0000-0000AA340000}"/>
    <cellStyle name="Percent 44 2 3 2 2" xfId="13464" xr:uid="{00000000-0005-0000-0000-0000AB340000}"/>
    <cellStyle name="Percent 44 2 3 3" xfId="13465" xr:uid="{00000000-0005-0000-0000-0000AC340000}"/>
    <cellStyle name="Percent 44 2 3 3 2" xfId="13466" xr:uid="{00000000-0005-0000-0000-0000AD340000}"/>
    <cellStyle name="Percent 44 2 3 4" xfId="13467" xr:uid="{00000000-0005-0000-0000-0000AE340000}"/>
    <cellStyle name="Percent 44 2 4" xfId="13468" xr:uid="{00000000-0005-0000-0000-0000AF340000}"/>
    <cellStyle name="Percent 44 2 4 2" xfId="13469" xr:uid="{00000000-0005-0000-0000-0000B0340000}"/>
    <cellStyle name="Percent 44 2 4 2 2" xfId="13470" xr:uid="{00000000-0005-0000-0000-0000B1340000}"/>
    <cellStyle name="Percent 44 2 4 3" xfId="13471" xr:uid="{00000000-0005-0000-0000-0000B2340000}"/>
    <cellStyle name="Percent 44 2 5" xfId="13472" xr:uid="{00000000-0005-0000-0000-0000B3340000}"/>
    <cellStyle name="Percent 44 2 5 2" xfId="13473" xr:uid="{00000000-0005-0000-0000-0000B4340000}"/>
    <cellStyle name="Percent 44 2 6" xfId="13474" xr:uid="{00000000-0005-0000-0000-0000B5340000}"/>
    <cellStyle name="Percent 44 2 6 2" xfId="13475" xr:uid="{00000000-0005-0000-0000-0000B6340000}"/>
    <cellStyle name="Percent 44 2 7" xfId="13476" xr:uid="{00000000-0005-0000-0000-0000B7340000}"/>
    <cellStyle name="Percent 44 3" xfId="13477" xr:uid="{00000000-0005-0000-0000-0000B8340000}"/>
    <cellStyle name="Percent 44 3 2" xfId="13478" xr:uid="{00000000-0005-0000-0000-0000B9340000}"/>
    <cellStyle name="Percent 44 3 2 2" xfId="13479" xr:uid="{00000000-0005-0000-0000-0000BA340000}"/>
    <cellStyle name="Percent 44 3 2 2 2" xfId="13480" xr:uid="{00000000-0005-0000-0000-0000BB340000}"/>
    <cellStyle name="Percent 44 3 2 3" xfId="13481" xr:uid="{00000000-0005-0000-0000-0000BC340000}"/>
    <cellStyle name="Percent 44 3 2 3 2" xfId="13482" xr:uid="{00000000-0005-0000-0000-0000BD340000}"/>
    <cellStyle name="Percent 44 3 2 4" xfId="13483" xr:uid="{00000000-0005-0000-0000-0000BE340000}"/>
    <cellStyle name="Percent 44 3 3" xfId="13484" xr:uid="{00000000-0005-0000-0000-0000BF340000}"/>
    <cellStyle name="Percent 44 3 3 2" xfId="13485" xr:uid="{00000000-0005-0000-0000-0000C0340000}"/>
    <cellStyle name="Percent 44 3 3 2 2" xfId="13486" xr:uid="{00000000-0005-0000-0000-0000C1340000}"/>
    <cellStyle name="Percent 44 3 3 3" xfId="13487" xr:uid="{00000000-0005-0000-0000-0000C2340000}"/>
    <cellStyle name="Percent 44 3 4" xfId="13488" xr:uid="{00000000-0005-0000-0000-0000C3340000}"/>
    <cellStyle name="Percent 44 3 4 2" xfId="13489" xr:uid="{00000000-0005-0000-0000-0000C4340000}"/>
    <cellStyle name="Percent 44 3 5" xfId="13490" xr:uid="{00000000-0005-0000-0000-0000C5340000}"/>
    <cellStyle name="Percent 44 3 5 2" xfId="13491" xr:uid="{00000000-0005-0000-0000-0000C6340000}"/>
    <cellStyle name="Percent 44 3 6" xfId="13492" xr:uid="{00000000-0005-0000-0000-0000C7340000}"/>
    <cellStyle name="Percent 44 4" xfId="13493" xr:uid="{00000000-0005-0000-0000-0000C8340000}"/>
    <cellStyle name="Percent 44 4 2" xfId="13494" xr:uid="{00000000-0005-0000-0000-0000C9340000}"/>
    <cellStyle name="Percent 44 4 2 2" xfId="13495" xr:uid="{00000000-0005-0000-0000-0000CA340000}"/>
    <cellStyle name="Percent 44 4 3" xfId="13496" xr:uid="{00000000-0005-0000-0000-0000CB340000}"/>
    <cellStyle name="Percent 44 4 3 2" xfId="13497" xr:uid="{00000000-0005-0000-0000-0000CC340000}"/>
    <cellStyle name="Percent 44 4 4" xfId="13498" xr:uid="{00000000-0005-0000-0000-0000CD340000}"/>
    <cellStyle name="Percent 44 5" xfId="13499" xr:uid="{00000000-0005-0000-0000-0000CE340000}"/>
    <cellStyle name="Percent 44 5 2" xfId="13500" xr:uid="{00000000-0005-0000-0000-0000CF340000}"/>
    <cellStyle name="Percent 44 5 2 2" xfId="13501" xr:uid="{00000000-0005-0000-0000-0000D0340000}"/>
    <cellStyle name="Percent 44 5 3" xfId="13502" xr:uid="{00000000-0005-0000-0000-0000D1340000}"/>
    <cellStyle name="Percent 44 6" xfId="13503" xr:uid="{00000000-0005-0000-0000-0000D2340000}"/>
    <cellStyle name="Percent 44 6 2" xfId="13504" xr:uid="{00000000-0005-0000-0000-0000D3340000}"/>
    <cellStyle name="Percent 44 7" xfId="13505" xr:uid="{00000000-0005-0000-0000-0000D4340000}"/>
    <cellStyle name="Percent 44 7 2" xfId="13506" xr:uid="{00000000-0005-0000-0000-0000D5340000}"/>
    <cellStyle name="Percent 44 8" xfId="13507" xr:uid="{00000000-0005-0000-0000-0000D6340000}"/>
    <cellStyle name="Percent 45" xfId="13508" xr:uid="{00000000-0005-0000-0000-0000D7340000}"/>
    <cellStyle name="Percent 45 2" xfId="13509" xr:uid="{00000000-0005-0000-0000-0000D8340000}"/>
    <cellStyle name="Percent 45 2 2" xfId="13510" xr:uid="{00000000-0005-0000-0000-0000D9340000}"/>
    <cellStyle name="Percent 45 2 2 2" xfId="13511" xr:uid="{00000000-0005-0000-0000-0000DA340000}"/>
    <cellStyle name="Percent 45 2 2 2 2" xfId="13512" xr:uid="{00000000-0005-0000-0000-0000DB340000}"/>
    <cellStyle name="Percent 45 2 2 2 2 2" xfId="13513" xr:uid="{00000000-0005-0000-0000-0000DC340000}"/>
    <cellStyle name="Percent 45 2 2 2 3" xfId="13514" xr:uid="{00000000-0005-0000-0000-0000DD340000}"/>
    <cellStyle name="Percent 45 2 2 2 3 2" xfId="13515" xr:uid="{00000000-0005-0000-0000-0000DE340000}"/>
    <cellStyle name="Percent 45 2 2 2 4" xfId="13516" xr:uid="{00000000-0005-0000-0000-0000DF340000}"/>
    <cellStyle name="Percent 45 2 2 3" xfId="13517" xr:uid="{00000000-0005-0000-0000-0000E0340000}"/>
    <cellStyle name="Percent 45 2 2 3 2" xfId="13518" xr:uid="{00000000-0005-0000-0000-0000E1340000}"/>
    <cellStyle name="Percent 45 2 2 3 2 2" xfId="13519" xr:uid="{00000000-0005-0000-0000-0000E2340000}"/>
    <cellStyle name="Percent 45 2 2 3 3" xfId="13520" xr:uid="{00000000-0005-0000-0000-0000E3340000}"/>
    <cellStyle name="Percent 45 2 2 4" xfId="13521" xr:uid="{00000000-0005-0000-0000-0000E4340000}"/>
    <cellStyle name="Percent 45 2 2 4 2" xfId="13522" xr:uid="{00000000-0005-0000-0000-0000E5340000}"/>
    <cellStyle name="Percent 45 2 2 5" xfId="13523" xr:uid="{00000000-0005-0000-0000-0000E6340000}"/>
    <cellStyle name="Percent 45 2 2 5 2" xfId="13524" xr:uid="{00000000-0005-0000-0000-0000E7340000}"/>
    <cellStyle name="Percent 45 2 2 6" xfId="13525" xr:uid="{00000000-0005-0000-0000-0000E8340000}"/>
    <cellStyle name="Percent 45 2 3" xfId="13526" xr:uid="{00000000-0005-0000-0000-0000E9340000}"/>
    <cellStyle name="Percent 45 2 3 2" xfId="13527" xr:uid="{00000000-0005-0000-0000-0000EA340000}"/>
    <cellStyle name="Percent 45 2 3 2 2" xfId="13528" xr:uid="{00000000-0005-0000-0000-0000EB340000}"/>
    <cellStyle name="Percent 45 2 3 3" xfId="13529" xr:uid="{00000000-0005-0000-0000-0000EC340000}"/>
    <cellStyle name="Percent 45 2 3 3 2" xfId="13530" xr:uid="{00000000-0005-0000-0000-0000ED340000}"/>
    <cellStyle name="Percent 45 2 3 4" xfId="13531" xr:uid="{00000000-0005-0000-0000-0000EE340000}"/>
    <cellStyle name="Percent 45 2 4" xfId="13532" xr:uid="{00000000-0005-0000-0000-0000EF340000}"/>
    <cellStyle name="Percent 45 2 4 2" xfId="13533" xr:uid="{00000000-0005-0000-0000-0000F0340000}"/>
    <cellStyle name="Percent 45 2 4 2 2" xfId="13534" xr:uid="{00000000-0005-0000-0000-0000F1340000}"/>
    <cellStyle name="Percent 45 2 4 3" xfId="13535" xr:uid="{00000000-0005-0000-0000-0000F2340000}"/>
    <cellStyle name="Percent 45 2 5" xfId="13536" xr:uid="{00000000-0005-0000-0000-0000F3340000}"/>
    <cellStyle name="Percent 45 2 5 2" xfId="13537" xr:uid="{00000000-0005-0000-0000-0000F4340000}"/>
    <cellStyle name="Percent 45 2 6" xfId="13538" xr:uid="{00000000-0005-0000-0000-0000F5340000}"/>
    <cellStyle name="Percent 45 2 6 2" xfId="13539" xr:uid="{00000000-0005-0000-0000-0000F6340000}"/>
    <cellStyle name="Percent 45 2 7" xfId="13540" xr:uid="{00000000-0005-0000-0000-0000F7340000}"/>
    <cellStyle name="Percent 45 3" xfId="13541" xr:uid="{00000000-0005-0000-0000-0000F8340000}"/>
    <cellStyle name="Percent 45 3 2" xfId="13542" xr:uid="{00000000-0005-0000-0000-0000F9340000}"/>
    <cellStyle name="Percent 45 3 2 2" xfId="13543" xr:uid="{00000000-0005-0000-0000-0000FA340000}"/>
    <cellStyle name="Percent 45 3 2 2 2" xfId="13544" xr:uid="{00000000-0005-0000-0000-0000FB340000}"/>
    <cellStyle name="Percent 45 3 2 3" xfId="13545" xr:uid="{00000000-0005-0000-0000-0000FC340000}"/>
    <cellStyle name="Percent 45 3 2 3 2" xfId="13546" xr:uid="{00000000-0005-0000-0000-0000FD340000}"/>
    <cellStyle name="Percent 45 3 2 4" xfId="13547" xr:uid="{00000000-0005-0000-0000-0000FE340000}"/>
    <cellStyle name="Percent 45 3 3" xfId="13548" xr:uid="{00000000-0005-0000-0000-0000FF340000}"/>
    <cellStyle name="Percent 45 3 3 2" xfId="13549" xr:uid="{00000000-0005-0000-0000-000000350000}"/>
    <cellStyle name="Percent 45 3 3 2 2" xfId="13550" xr:uid="{00000000-0005-0000-0000-000001350000}"/>
    <cellStyle name="Percent 45 3 3 3" xfId="13551" xr:uid="{00000000-0005-0000-0000-000002350000}"/>
    <cellStyle name="Percent 45 3 4" xfId="13552" xr:uid="{00000000-0005-0000-0000-000003350000}"/>
    <cellStyle name="Percent 45 3 4 2" xfId="13553" xr:uid="{00000000-0005-0000-0000-000004350000}"/>
    <cellStyle name="Percent 45 3 5" xfId="13554" xr:uid="{00000000-0005-0000-0000-000005350000}"/>
    <cellStyle name="Percent 45 3 5 2" xfId="13555" xr:uid="{00000000-0005-0000-0000-000006350000}"/>
    <cellStyle name="Percent 45 3 6" xfId="13556" xr:uid="{00000000-0005-0000-0000-000007350000}"/>
    <cellStyle name="Percent 45 4" xfId="13557" xr:uid="{00000000-0005-0000-0000-000008350000}"/>
    <cellStyle name="Percent 45 4 2" xfId="13558" xr:uid="{00000000-0005-0000-0000-000009350000}"/>
    <cellStyle name="Percent 45 4 2 2" xfId="13559" xr:uid="{00000000-0005-0000-0000-00000A350000}"/>
    <cellStyle name="Percent 45 4 3" xfId="13560" xr:uid="{00000000-0005-0000-0000-00000B350000}"/>
    <cellStyle name="Percent 45 4 3 2" xfId="13561" xr:uid="{00000000-0005-0000-0000-00000C350000}"/>
    <cellStyle name="Percent 45 4 4" xfId="13562" xr:uid="{00000000-0005-0000-0000-00000D350000}"/>
    <cellStyle name="Percent 45 5" xfId="13563" xr:uid="{00000000-0005-0000-0000-00000E350000}"/>
    <cellStyle name="Percent 45 5 2" xfId="13564" xr:uid="{00000000-0005-0000-0000-00000F350000}"/>
    <cellStyle name="Percent 45 5 2 2" xfId="13565" xr:uid="{00000000-0005-0000-0000-000010350000}"/>
    <cellStyle name="Percent 45 5 3" xfId="13566" xr:uid="{00000000-0005-0000-0000-000011350000}"/>
    <cellStyle name="Percent 45 6" xfId="13567" xr:uid="{00000000-0005-0000-0000-000012350000}"/>
    <cellStyle name="Percent 45 6 2" xfId="13568" xr:uid="{00000000-0005-0000-0000-000013350000}"/>
    <cellStyle name="Percent 45 7" xfId="13569" xr:uid="{00000000-0005-0000-0000-000014350000}"/>
    <cellStyle name="Percent 45 7 2" xfId="13570" xr:uid="{00000000-0005-0000-0000-000015350000}"/>
    <cellStyle name="Percent 45 8" xfId="13571" xr:uid="{00000000-0005-0000-0000-000016350000}"/>
    <cellStyle name="Percent 46" xfId="13572" xr:uid="{00000000-0005-0000-0000-000017350000}"/>
    <cellStyle name="Percent 46 2" xfId="13573" xr:uid="{00000000-0005-0000-0000-000018350000}"/>
    <cellStyle name="Percent 46 2 2" xfId="13574" xr:uid="{00000000-0005-0000-0000-000019350000}"/>
    <cellStyle name="Percent 46 2 2 2" xfId="13575" xr:uid="{00000000-0005-0000-0000-00001A350000}"/>
    <cellStyle name="Percent 46 2 2 2 2" xfId="13576" xr:uid="{00000000-0005-0000-0000-00001B350000}"/>
    <cellStyle name="Percent 46 2 2 2 2 2" xfId="13577" xr:uid="{00000000-0005-0000-0000-00001C350000}"/>
    <cellStyle name="Percent 46 2 2 2 3" xfId="13578" xr:uid="{00000000-0005-0000-0000-00001D350000}"/>
    <cellStyle name="Percent 46 2 2 2 3 2" xfId="13579" xr:uid="{00000000-0005-0000-0000-00001E350000}"/>
    <cellStyle name="Percent 46 2 2 2 4" xfId="13580" xr:uid="{00000000-0005-0000-0000-00001F350000}"/>
    <cellStyle name="Percent 46 2 2 3" xfId="13581" xr:uid="{00000000-0005-0000-0000-000020350000}"/>
    <cellStyle name="Percent 46 2 2 3 2" xfId="13582" xr:uid="{00000000-0005-0000-0000-000021350000}"/>
    <cellStyle name="Percent 46 2 2 3 2 2" xfId="13583" xr:uid="{00000000-0005-0000-0000-000022350000}"/>
    <cellStyle name="Percent 46 2 2 3 3" xfId="13584" xr:uid="{00000000-0005-0000-0000-000023350000}"/>
    <cellStyle name="Percent 46 2 2 4" xfId="13585" xr:uid="{00000000-0005-0000-0000-000024350000}"/>
    <cellStyle name="Percent 46 2 2 4 2" xfId="13586" xr:uid="{00000000-0005-0000-0000-000025350000}"/>
    <cellStyle name="Percent 46 2 2 5" xfId="13587" xr:uid="{00000000-0005-0000-0000-000026350000}"/>
    <cellStyle name="Percent 46 2 2 5 2" xfId="13588" xr:uid="{00000000-0005-0000-0000-000027350000}"/>
    <cellStyle name="Percent 46 2 2 6" xfId="13589" xr:uid="{00000000-0005-0000-0000-000028350000}"/>
    <cellStyle name="Percent 46 2 3" xfId="13590" xr:uid="{00000000-0005-0000-0000-000029350000}"/>
    <cellStyle name="Percent 46 2 3 2" xfId="13591" xr:uid="{00000000-0005-0000-0000-00002A350000}"/>
    <cellStyle name="Percent 46 2 3 2 2" xfId="13592" xr:uid="{00000000-0005-0000-0000-00002B350000}"/>
    <cellStyle name="Percent 46 2 3 3" xfId="13593" xr:uid="{00000000-0005-0000-0000-00002C350000}"/>
    <cellStyle name="Percent 46 2 3 3 2" xfId="13594" xr:uid="{00000000-0005-0000-0000-00002D350000}"/>
    <cellStyle name="Percent 46 2 3 4" xfId="13595" xr:uid="{00000000-0005-0000-0000-00002E350000}"/>
    <cellStyle name="Percent 46 2 4" xfId="13596" xr:uid="{00000000-0005-0000-0000-00002F350000}"/>
    <cellStyle name="Percent 46 2 4 2" xfId="13597" xr:uid="{00000000-0005-0000-0000-000030350000}"/>
    <cellStyle name="Percent 46 2 4 2 2" xfId="13598" xr:uid="{00000000-0005-0000-0000-000031350000}"/>
    <cellStyle name="Percent 46 2 4 3" xfId="13599" xr:uid="{00000000-0005-0000-0000-000032350000}"/>
    <cellStyle name="Percent 46 2 5" xfId="13600" xr:uid="{00000000-0005-0000-0000-000033350000}"/>
    <cellStyle name="Percent 46 2 5 2" xfId="13601" xr:uid="{00000000-0005-0000-0000-000034350000}"/>
    <cellStyle name="Percent 46 2 6" xfId="13602" xr:uid="{00000000-0005-0000-0000-000035350000}"/>
    <cellStyle name="Percent 46 2 6 2" xfId="13603" xr:uid="{00000000-0005-0000-0000-000036350000}"/>
    <cellStyle name="Percent 46 2 7" xfId="13604" xr:uid="{00000000-0005-0000-0000-000037350000}"/>
    <cellStyle name="Percent 46 3" xfId="13605" xr:uid="{00000000-0005-0000-0000-000038350000}"/>
    <cellStyle name="Percent 46 3 2" xfId="13606" xr:uid="{00000000-0005-0000-0000-000039350000}"/>
    <cellStyle name="Percent 46 3 2 2" xfId="13607" xr:uid="{00000000-0005-0000-0000-00003A350000}"/>
    <cellStyle name="Percent 46 3 2 2 2" xfId="13608" xr:uid="{00000000-0005-0000-0000-00003B350000}"/>
    <cellStyle name="Percent 46 3 2 3" xfId="13609" xr:uid="{00000000-0005-0000-0000-00003C350000}"/>
    <cellStyle name="Percent 46 3 2 3 2" xfId="13610" xr:uid="{00000000-0005-0000-0000-00003D350000}"/>
    <cellStyle name="Percent 46 3 2 4" xfId="13611" xr:uid="{00000000-0005-0000-0000-00003E350000}"/>
    <cellStyle name="Percent 46 3 3" xfId="13612" xr:uid="{00000000-0005-0000-0000-00003F350000}"/>
    <cellStyle name="Percent 46 3 3 2" xfId="13613" xr:uid="{00000000-0005-0000-0000-000040350000}"/>
    <cellStyle name="Percent 46 3 3 2 2" xfId="13614" xr:uid="{00000000-0005-0000-0000-000041350000}"/>
    <cellStyle name="Percent 46 3 3 3" xfId="13615" xr:uid="{00000000-0005-0000-0000-000042350000}"/>
    <cellStyle name="Percent 46 3 4" xfId="13616" xr:uid="{00000000-0005-0000-0000-000043350000}"/>
    <cellStyle name="Percent 46 3 4 2" xfId="13617" xr:uid="{00000000-0005-0000-0000-000044350000}"/>
    <cellStyle name="Percent 46 3 5" xfId="13618" xr:uid="{00000000-0005-0000-0000-000045350000}"/>
    <cellStyle name="Percent 46 3 5 2" xfId="13619" xr:uid="{00000000-0005-0000-0000-000046350000}"/>
    <cellStyle name="Percent 46 3 6" xfId="13620" xr:uid="{00000000-0005-0000-0000-000047350000}"/>
    <cellStyle name="Percent 46 4" xfId="13621" xr:uid="{00000000-0005-0000-0000-000048350000}"/>
    <cellStyle name="Percent 46 4 2" xfId="13622" xr:uid="{00000000-0005-0000-0000-000049350000}"/>
    <cellStyle name="Percent 46 4 2 2" xfId="13623" xr:uid="{00000000-0005-0000-0000-00004A350000}"/>
    <cellStyle name="Percent 46 4 3" xfId="13624" xr:uid="{00000000-0005-0000-0000-00004B350000}"/>
    <cellStyle name="Percent 46 4 3 2" xfId="13625" xr:uid="{00000000-0005-0000-0000-00004C350000}"/>
    <cellStyle name="Percent 46 4 4" xfId="13626" xr:uid="{00000000-0005-0000-0000-00004D350000}"/>
    <cellStyle name="Percent 46 5" xfId="13627" xr:uid="{00000000-0005-0000-0000-00004E350000}"/>
    <cellStyle name="Percent 46 5 2" xfId="13628" xr:uid="{00000000-0005-0000-0000-00004F350000}"/>
    <cellStyle name="Percent 46 5 2 2" xfId="13629" xr:uid="{00000000-0005-0000-0000-000050350000}"/>
    <cellStyle name="Percent 46 5 3" xfId="13630" xr:uid="{00000000-0005-0000-0000-000051350000}"/>
    <cellStyle name="Percent 46 6" xfId="13631" xr:uid="{00000000-0005-0000-0000-000052350000}"/>
    <cellStyle name="Percent 46 6 2" xfId="13632" xr:uid="{00000000-0005-0000-0000-000053350000}"/>
    <cellStyle name="Percent 46 7" xfId="13633" xr:uid="{00000000-0005-0000-0000-000054350000}"/>
    <cellStyle name="Percent 46 7 2" xfId="13634" xr:uid="{00000000-0005-0000-0000-000055350000}"/>
    <cellStyle name="Percent 46 8" xfId="13635" xr:uid="{00000000-0005-0000-0000-000056350000}"/>
    <cellStyle name="Percent 47" xfId="13636" xr:uid="{00000000-0005-0000-0000-000057350000}"/>
    <cellStyle name="Percent 47 2" xfId="13637" xr:uid="{00000000-0005-0000-0000-000058350000}"/>
    <cellStyle name="Percent 47 2 2" xfId="13638" xr:uid="{00000000-0005-0000-0000-000059350000}"/>
    <cellStyle name="Percent 47 2 2 2" xfId="13639" xr:uid="{00000000-0005-0000-0000-00005A350000}"/>
    <cellStyle name="Percent 47 2 2 2 2" xfId="13640" xr:uid="{00000000-0005-0000-0000-00005B350000}"/>
    <cellStyle name="Percent 47 2 2 2 2 2" xfId="13641" xr:uid="{00000000-0005-0000-0000-00005C350000}"/>
    <cellStyle name="Percent 47 2 2 2 3" xfId="13642" xr:uid="{00000000-0005-0000-0000-00005D350000}"/>
    <cellStyle name="Percent 47 2 2 2 3 2" xfId="13643" xr:uid="{00000000-0005-0000-0000-00005E350000}"/>
    <cellStyle name="Percent 47 2 2 2 4" xfId="13644" xr:uid="{00000000-0005-0000-0000-00005F350000}"/>
    <cellStyle name="Percent 47 2 2 3" xfId="13645" xr:uid="{00000000-0005-0000-0000-000060350000}"/>
    <cellStyle name="Percent 47 2 2 3 2" xfId="13646" xr:uid="{00000000-0005-0000-0000-000061350000}"/>
    <cellStyle name="Percent 47 2 2 3 2 2" xfId="13647" xr:uid="{00000000-0005-0000-0000-000062350000}"/>
    <cellStyle name="Percent 47 2 2 3 3" xfId="13648" xr:uid="{00000000-0005-0000-0000-000063350000}"/>
    <cellStyle name="Percent 47 2 2 4" xfId="13649" xr:uid="{00000000-0005-0000-0000-000064350000}"/>
    <cellStyle name="Percent 47 2 2 4 2" xfId="13650" xr:uid="{00000000-0005-0000-0000-000065350000}"/>
    <cellStyle name="Percent 47 2 2 5" xfId="13651" xr:uid="{00000000-0005-0000-0000-000066350000}"/>
    <cellStyle name="Percent 47 2 2 5 2" xfId="13652" xr:uid="{00000000-0005-0000-0000-000067350000}"/>
    <cellStyle name="Percent 47 2 2 6" xfId="13653" xr:uid="{00000000-0005-0000-0000-000068350000}"/>
    <cellStyle name="Percent 47 2 3" xfId="13654" xr:uid="{00000000-0005-0000-0000-000069350000}"/>
    <cellStyle name="Percent 47 2 3 2" xfId="13655" xr:uid="{00000000-0005-0000-0000-00006A350000}"/>
    <cellStyle name="Percent 47 2 3 2 2" xfId="13656" xr:uid="{00000000-0005-0000-0000-00006B350000}"/>
    <cellStyle name="Percent 47 2 3 3" xfId="13657" xr:uid="{00000000-0005-0000-0000-00006C350000}"/>
    <cellStyle name="Percent 47 2 3 3 2" xfId="13658" xr:uid="{00000000-0005-0000-0000-00006D350000}"/>
    <cellStyle name="Percent 47 2 3 4" xfId="13659" xr:uid="{00000000-0005-0000-0000-00006E350000}"/>
    <cellStyle name="Percent 47 2 4" xfId="13660" xr:uid="{00000000-0005-0000-0000-00006F350000}"/>
    <cellStyle name="Percent 47 2 4 2" xfId="13661" xr:uid="{00000000-0005-0000-0000-000070350000}"/>
    <cellStyle name="Percent 47 2 4 2 2" xfId="13662" xr:uid="{00000000-0005-0000-0000-000071350000}"/>
    <cellStyle name="Percent 47 2 4 3" xfId="13663" xr:uid="{00000000-0005-0000-0000-000072350000}"/>
    <cellStyle name="Percent 47 2 5" xfId="13664" xr:uid="{00000000-0005-0000-0000-000073350000}"/>
    <cellStyle name="Percent 47 2 5 2" xfId="13665" xr:uid="{00000000-0005-0000-0000-000074350000}"/>
    <cellStyle name="Percent 47 2 6" xfId="13666" xr:uid="{00000000-0005-0000-0000-000075350000}"/>
    <cellStyle name="Percent 47 2 6 2" xfId="13667" xr:uid="{00000000-0005-0000-0000-000076350000}"/>
    <cellStyle name="Percent 47 2 7" xfId="13668" xr:uid="{00000000-0005-0000-0000-000077350000}"/>
    <cellStyle name="Percent 47 3" xfId="13669" xr:uid="{00000000-0005-0000-0000-000078350000}"/>
    <cellStyle name="Percent 47 3 2" xfId="13670" xr:uid="{00000000-0005-0000-0000-000079350000}"/>
    <cellStyle name="Percent 47 3 2 2" xfId="13671" xr:uid="{00000000-0005-0000-0000-00007A350000}"/>
    <cellStyle name="Percent 47 3 2 2 2" xfId="13672" xr:uid="{00000000-0005-0000-0000-00007B350000}"/>
    <cellStyle name="Percent 47 3 2 3" xfId="13673" xr:uid="{00000000-0005-0000-0000-00007C350000}"/>
    <cellStyle name="Percent 47 3 2 3 2" xfId="13674" xr:uid="{00000000-0005-0000-0000-00007D350000}"/>
    <cellStyle name="Percent 47 3 2 4" xfId="13675" xr:uid="{00000000-0005-0000-0000-00007E350000}"/>
    <cellStyle name="Percent 47 3 3" xfId="13676" xr:uid="{00000000-0005-0000-0000-00007F350000}"/>
    <cellStyle name="Percent 47 3 3 2" xfId="13677" xr:uid="{00000000-0005-0000-0000-000080350000}"/>
    <cellStyle name="Percent 47 3 3 2 2" xfId="13678" xr:uid="{00000000-0005-0000-0000-000081350000}"/>
    <cellStyle name="Percent 47 3 3 3" xfId="13679" xr:uid="{00000000-0005-0000-0000-000082350000}"/>
    <cellStyle name="Percent 47 3 4" xfId="13680" xr:uid="{00000000-0005-0000-0000-000083350000}"/>
    <cellStyle name="Percent 47 3 4 2" xfId="13681" xr:uid="{00000000-0005-0000-0000-000084350000}"/>
    <cellStyle name="Percent 47 3 5" xfId="13682" xr:uid="{00000000-0005-0000-0000-000085350000}"/>
    <cellStyle name="Percent 47 3 5 2" xfId="13683" xr:uid="{00000000-0005-0000-0000-000086350000}"/>
    <cellStyle name="Percent 47 3 6" xfId="13684" xr:uid="{00000000-0005-0000-0000-000087350000}"/>
    <cellStyle name="Percent 47 4" xfId="13685" xr:uid="{00000000-0005-0000-0000-000088350000}"/>
    <cellStyle name="Percent 47 4 2" xfId="13686" xr:uid="{00000000-0005-0000-0000-000089350000}"/>
    <cellStyle name="Percent 47 4 2 2" xfId="13687" xr:uid="{00000000-0005-0000-0000-00008A350000}"/>
    <cellStyle name="Percent 47 4 3" xfId="13688" xr:uid="{00000000-0005-0000-0000-00008B350000}"/>
    <cellStyle name="Percent 47 4 3 2" xfId="13689" xr:uid="{00000000-0005-0000-0000-00008C350000}"/>
    <cellStyle name="Percent 47 4 4" xfId="13690" xr:uid="{00000000-0005-0000-0000-00008D350000}"/>
    <cellStyle name="Percent 47 5" xfId="13691" xr:uid="{00000000-0005-0000-0000-00008E350000}"/>
    <cellStyle name="Percent 47 5 2" xfId="13692" xr:uid="{00000000-0005-0000-0000-00008F350000}"/>
    <cellStyle name="Percent 47 5 2 2" xfId="13693" xr:uid="{00000000-0005-0000-0000-000090350000}"/>
    <cellStyle name="Percent 47 5 3" xfId="13694" xr:uid="{00000000-0005-0000-0000-000091350000}"/>
    <cellStyle name="Percent 47 6" xfId="13695" xr:uid="{00000000-0005-0000-0000-000092350000}"/>
    <cellStyle name="Percent 47 6 2" xfId="13696" xr:uid="{00000000-0005-0000-0000-000093350000}"/>
    <cellStyle name="Percent 47 7" xfId="13697" xr:uid="{00000000-0005-0000-0000-000094350000}"/>
    <cellStyle name="Percent 47 7 2" xfId="13698" xr:uid="{00000000-0005-0000-0000-000095350000}"/>
    <cellStyle name="Percent 47 8" xfId="13699" xr:uid="{00000000-0005-0000-0000-000096350000}"/>
    <cellStyle name="Percent 48" xfId="13700" xr:uid="{00000000-0005-0000-0000-000097350000}"/>
    <cellStyle name="Percent 48 2" xfId="13701" xr:uid="{00000000-0005-0000-0000-000098350000}"/>
    <cellStyle name="Percent 48 2 2" xfId="13702" xr:uid="{00000000-0005-0000-0000-000099350000}"/>
    <cellStyle name="Percent 48 2 2 2" xfId="13703" xr:uid="{00000000-0005-0000-0000-00009A350000}"/>
    <cellStyle name="Percent 48 2 2 2 2" xfId="13704" xr:uid="{00000000-0005-0000-0000-00009B350000}"/>
    <cellStyle name="Percent 48 2 2 2 2 2" xfId="13705" xr:uid="{00000000-0005-0000-0000-00009C350000}"/>
    <cellStyle name="Percent 48 2 2 2 3" xfId="13706" xr:uid="{00000000-0005-0000-0000-00009D350000}"/>
    <cellStyle name="Percent 48 2 2 2 3 2" xfId="13707" xr:uid="{00000000-0005-0000-0000-00009E350000}"/>
    <cellStyle name="Percent 48 2 2 2 4" xfId="13708" xr:uid="{00000000-0005-0000-0000-00009F350000}"/>
    <cellStyle name="Percent 48 2 2 3" xfId="13709" xr:uid="{00000000-0005-0000-0000-0000A0350000}"/>
    <cellStyle name="Percent 48 2 2 3 2" xfId="13710" xr:uid="{00000000-0005-0000-0000-0000A1350000}"/>
    <cellStyle name="Percent 48 2 2 3 2 2" xfId="13711" xr:uid="{00000000-0005-0000-0000-0000A2350000}"/>
    <cellStyle name="Percent 48 2 2 3 3" xfId="13712" xr:uid="{00000000-0005-0000-0000-0000A3350000}"/>
    <cellStyle name="Percent 48 2 2 4" xfId="13713" xr:uid="{00000000-0005-0000-0000-0000A4350000}"/>
    <cellStyle name="Percent 48 2 2 4 2" xfId="13714" xr:uid="{00000000-0005-0000-0000-0000A5350000}"/>
    <cellStyle name="Percent 48 2 2 5" xfId="13715" xr:uid="{00000000-0005-0000-0000-0000A6350000}"/>
    <cellStyle name="Percent 48 2 2 5 2" xfId="13716" xr:uid="{00000000-0005-0000-0000-0000A7350000}"/>
    <cellStyle name="Percent 48 2 2 6" xfId="13717" xr:uid="{00000000-0005-0000-0000-0000A8350000}"/>
    <cellStyle name="Percent 48 2 3" xfId="13718" xr:uid="{00000000-0005-0000-0000-0000A9350000}"/>
    <cellStyle name="Percent 48 2 3 2" xfId="13719" xr:uid="{00000000-0005-0000-0000-0000AA350000}"/>
    <cellStyle name="Percent 48 2 3 2 2" xfId="13720" xr:uid="{00000000-0005-0000-0000-0000AB350000}"/>
    <cellStyle name="Percent 48 2 3 3" xfId="13721" xr:uid="{00000000-0005-0000-0000-0000AC350000}"/>
    <cellStyle name="Percent 48 2 3 3 2" xfId="13722" xr:uid="{00000000-0005-0000-0000-0000AD350000}"/>
    <cellStyle name="Percent 48 2 3 4" xfId="13723" xr:uid="{00000000-0005-0000-0000-0000AE350000}"/>
    <cellStyle name="Percent 48 2 4" xfId="13724" xr:uid="{00000000-0005-0000-0000-0000AF350000}"/>
    <cellStyle name="Percent 48 2 4 2" xfId="13725" xr:uid="{00000000-0005-0000-0000-0000B0350000}"/>
    <cellStyle name="Percent 48 2 4 2 2" xfId="13726" xr:uid="{00000000-0005-0000-0000-0000B1350000}"/>
    <cellStyle name="Percent 48 2 4 3" xfId="13727" xr:uid="{00000000-0005-0000-0000-0000B2350000}"/>
    <cellStyle name="Percent 48 2 5" xfId="13728" xr:uid="{00000000-0005-0000-0000-0000B3350000}"/>
    <cellStyle name="Percent 48 2 5 2" xfId="13729" xr:uid="{00000000-0005-0000-0000-0000B4350000}"/>
    <cellStyle name="Percent 48 2 6" xfId="13730" xr:uid="{00000000-0005-0000-0000-0000B5350000}"/>
    <cellStyle name="Percent 48 2 6 2" xfId="13731" xr:uid="{00000000-0005-0000-0000-0000B6350000}"/>
    <cellStyle name="Percent 48 2 7" xfId="13732" xr:uid="{00000000-0005-0000-0000-0000B7350000}"/>
    <cellStyle name="Percent 48 3" xfId="13733" xr:uid="{00000000-0005-0000-0000-0000B8350000}"/>
    <cellStyle name="Percent 48 3 2" xfId="13734" xr:uid="{00000000-0005-0000-0000-0000B9350000}"/>
    <cellStyle name="Percent 48 3 2 2" xfId="13735" xr:uid="{00000000-0005-0000-0000-0000BA350000}"/>
    <cellStyle name="Percent 48 3 2 2 2" xfId="13736" xr:uid="{00000000-0005-0000-0000-0000BB350000}"/>
    <cellStyle name="Percent 48 3 2 3" xfId="13737" xr:uid="{00000000-0005-0000-0000-0000BC350000}"/>
    <cellStyle name="Percent 48 3 2 3 2" xfId="13738" xr:uid="{00000000-0005-0000-0000-0000BD350000}"/>
    <cellStyle name="Percent 48 3 2 4" xfId="13739" xr:uid="{00000000-0005-0000-0000-0000BE350000}"/>
    <cellStyle name="Percent 48 3 3" xfId="13740" xr:uid="{00000000-0005-0000-0000-0000BF350000}"/>
    <cellStyle name="Percent 48 3 3 2" xfId="13741" xr:uid="{00000000-0005-0000-0000-0000C0350000}"/>
    <cellStyle name="Percent 48 3 3 2 2" xfId="13742" xr:uid="{00000000-0005-0000-0000-0000C1350000}"/>
    <cellStyle name="Percent 48 3 3 3" xfId="13743" xr:uid="{00000000-0005-0000-0000-0000C2350000}"/>
    <cellStyle name="Percent 48 3 4" xfId="13744" xr:uid="{00000000-0005-0000-0000-0000C3350000}"/>
    <cellStyle name="Percent 48 3 4 2" xfId="13745" xr:uid="{00000000-0005-0000-0000-0000C4350000}"/>
    <cellStyle name="Percent 48 3 5" xfId="13746" xr:uid="{00000000-0005-0000-0000-0000C5350000}"/>
    <cellStyle name="Percent 48 3 5 2" xfId="13747" xr:uid="{00000000-0005-0000-0000-0000C6350000}"/>
    <cellStyle name="Percent 48 3 6" xfId="13748" xr:uid="{00000000-0005-0000-0000-0000C7350000}"/>
    <cellStyle name="Percent 48 4" xfId="13749" xr:uid="{00000000-0005-0000-0000-0000C8350000}"/>
    <cellStyle name="Percent 48 4 2" xfId="13750" xr:uid="{00000000-0005-0000-0000-0000C9350000}"/>
    <cellStyle name="Percent 48 4 2 2" xfId="13751" xr:uid="{00000000-0005-0000-0000-0000CA350000}"/>
    <cellStyle name="Percent 48 4 3" xfId="13752" xr:uid="{00000000-0005-0000-0000-0000CB350000}"/>
    <cellStyle name="Percent 48 4 3 2" xfId="13753" xr:uid="{00000000-0005-0000-0000-0000CC350000}"/>
    <cellStyle name="Percent 48 4 4" xfId="13754" xr:uid="{00000000-0005-0000-0000-0000CD350000}"/>
    <cellStyle name="Percent 48 5" xfId="13755" xr:uid="{00000000-0005-0000-0000-0000CE350000}"/>
    <cellStyle name="Percent 48 5 2" xfId="13756" xr:uid="{00000000-0005-0000-0000-0000CF350000}"/>
    <cellStyle name="Percent 48 5 2 2" xfId="13757" xr:uid="{00000000-0005-0000-0000-0000D0350000}"/>
    <cellStyle name="Percent 48 5 3" xfId="13758" xr:uid="{00000000-0005-0000-0000-0000D1350000}"/>
    <cellStyle name="Percent 48 6" xfId="13759" xr:uid="{00000000-0005-0000-0000-0000D2350000}"/>
    <cellStyle name="Percent 48 6 2" xfId="13760" xr:uid="{00000000-0005-0000-0000-0000D3350000}"/>
    <cellStyle name="Percent 48 7" xfId="13761" xr:uid="{00000000-0005-0000-0000-0000D4350000}"/>
    <cellStyle name="Percent 48 7 2" xfId="13762" xr:uid="{00000000-0005-0000-0000-0000D5350000}"/>
    <cellStyle name="Percent 48 8" xfId="13763" xr:uid="{00000000-0005-0000-0000-0000D6350000}"/>
    <cellStyle name="Percent 49" xfId="13764" xr:uid="{00000000-0005-0000-0000-0000D7350000}"/>
    <cellStyle name="Percent 49 2" xfId="13765" xr:uid="{00000000-0005-0000-0000-0000D8350000}"/>
    <cellStyle name="Percent 49 2 2" xfId="13766" xr:uid="{00000000-0005-0000-0000-0000D9350000}"/>
    <cellStyle name="Percent 49 2 2 2" xfId="13767" xr:uid="{00000000-0005-0000-0000-0000DA350000}"/>
    <cellStyle name="Percent 49 2 2 2 2" xfId="13768" xr:uid="{00000000-0005-0000-0000-0000DB350000}"/>
    <cellStyle name="Percent 49 2 2 2 2 2" xfId="13769" xr:uid="{00000000-0005-0000-0000-0000DC350000}"/>
    <cellStyle name="Percent 49 2 2 2 3" xfId="13770" xr:uid="{00000000-0005-0000-0000-0000DD350000}"/>
    <cellStyle name="Percent 49 2 2 2 3 2" xfId="13771" xr:uid="{00000000-0005-0000-0000-0000DE350000}"/>
    <cellStyle name="Percent 49 2 2 2 4" xfId="13772" xr:uid="{00000000-0005-0000-0000-0000DF350000}"/>
    <cellStyle name="Percent 49 2 2 3" xfId="13773" xr:uid="{00000000-0005-0000-0000-0000E0350000}"/>
    <cellStyle name="Percent 49 2 2 3 2" xfId="13774" xr:uid="{00000000-0005-0000-0000-0000E1350000}"/>
    <cellStyle name="Percent 49 2 2 3 2 2" xfId="13775" xr:uid="{00000000-0005-0000-0000-0000E2350000}"/>
    <cellStyle name="Percent 49 2 2 3 3" xfId="13776" xr:uid="{00000000-0005-0000-0000-0000E3350000}"/>
    <cellStyle name="Percent 49 2 2 4" xfId="13777" xr:uid="{00000000-0005-0000-0000-0000E4350000}"/>
    <cellStyle name="Percent 49 2 2 4 2" xfId="13778" xr:uid="{00000000-0005-0000-0000-0000E5350000}"/>
    <cellStyle name="Percent 49 2 2 5" xfId="13779" xr:uid="{00000000-0005-0000-0000-0000E6350000}"/>
    <cellStyle name="Percent 49 2 2 5 2" xfId="13780" xr:uid="{00000000-0005-0000-0000-0000E7350000}"/>
    <cellStyle name="Percent 49 2 2 6" xfId="13781" xr:uid="{00000000-0005-0000-0000-0000E8350000}"/>
    <cellStyle name="Percent 49 2 3" xfId="13782" xr:uid="{00000000-0005-0000-0000-0000E9350000}"/>
    <cellStyle name="Percent 49 2 3 2" xfId="13783" xr:uid="{00000000-0005-0000-0000-0000EA350000}"/>
    <cellStyle name="Percent 49 2 3 2 2" xfId="13784" xr:uid="{00000000-0005-0000-0000-0000EB350000}"/>
    <cellStyle name="Percent 49 2 3 3" xfId="13785" xr:uid="{00000000-0005-0000-0000-0000EC350000}"/>
    <cellStyle name="Percent 49 2 3 3 2" xfId="13786" xr:uid="{00000000-0005-0000-0000-0000ED350000}"/>
    <cellStyle name="Percent 49 2 3 4" xfId="13787" xr:uid="{00000000-0005-0000-0000-0000EE350000}"/>
    <cellStyle name="Percent 49 2 4" xfId="13788" xr:uid="{00000000-0005-0000-0000-0000EF350000}"/>
    <cellStyle name="Percent 49 2 4 2" xfId="13789" xr:uid="{00000000-0005-0000-0000-0000F0350000}"/>
    <cellStyle name="Percent 49 2 4 2 2" xfId="13790" xr:uid="{00000000-0005-0000-0000-0000F1350000}"/>
    <cellStyle name="Percent 49 2 4 3" xfId="13791" xr:uid="{00000000-0005-0000-0000-0000F2350000}"/>
    <cellStyle name="Percent 49 2 5" xfId="13792" xr:uid="{00000000-0005-0000-0000-0000F3350000}"/>
    <cellStyle name="Percent 49 2 5 2" xfId="13793" xr:uid="{00000000-0005-0000-0000-0000F4350000}"/>
    <cellStyle name="Percent 49 2 6" xfId="13794" xr:uid="{00000000-0005-0000-0000-0000F5350000}"/>
    <cellStyle name="Percent 49 2 6 2" xfId="13795" xr:uid="{00000000-0005-0000-0000-0000F6350000}"/>
    <cellStyle name="Percent 49 2 7" xfId="13796" xr:uid="{00000000-0005-0000-0000-0000F7350000}"/>
    <cellStyle name="Percent 49 3" xfId="13797" xr:uid="{00000000-0005-0000-0000-0000F8350000}"/>
    <cellStyle name="Percent 49 3 2" xfId="13798" xr:uid="{00000000-0005-0000-0000-0000F9350000}"/>
    <cellStyle name="Percent 49 3 2 2" xfId="13799" xr:uid="{00000000-0005-0000-0000-0000FA350000}"/>
    <cellStyle name="Percent 49 3 2 2 2" xfId="13800" xr:uid="{00000000-0005-0000-0000-0000FB350000}"/>
    <cellStyle name="Percent 49 3 2 3" xfId="13801" xr:uid="{00000000-0005-0000-0000-0000FC350000}"/>
    <cellStyle name="Percent 49 3 2 3 2" xfId="13802" xr:uid="{00000000-0005-0000-0000-0000FD350000}"/>
    <cellStyle name="Percent 49 3 2 4" xfId="13803" xr:uid="{00000000-0005-0000-0000-0000FE350000}"/>
    <cellStyle name="Percent 49 3 3" xfId="13804" xr:uid="{00000000-0005-0000-0000-0000FF350000}"/>
    <cellStyle name="Percent 49 3 3 2" xfId="13805" xr:uid="{00000000-0005-0000-0000-000000360000}"/>
    <cellStyle name="Percent 49 3 3 2 2" xfId="13806" xr:uid="{00000000-0005-0000-0000-000001360000}"/>
    <cellStyle name="Percent 49 3 3 3" xfId="13807" xr:uid="{00000000-0005-0000-0000-000002360000}"/>
    <cellStyle name="Percent 49 3 4" xfId="13808" xr:uid="{00000000-0005-0000-0000-000003360000}"/>
    <cellStyle name="Percent 49 3 4 2" xfId="13809" xr:uid="{00000000-0005-0000-0000-000004360000}"/>
    <cellStyle name="Percent 49 3 5" xfId="13810" xr:uid="{00000000-0005-0000-0000-000005360000}"/>
    <cellStyle name="Percent 49 3 5 2" xfId="13811" xr:uid="{00000000-0005-0000-0000-000006360000}"/>
    <cellStyle name="Percent 49 3 6" xfId="13812" xr:uid="{00000000-0005-0000-0000-000007360000}"/>
    <cellStyle name="Percent 49 4" xfId="13813" xr:uid="{00000000-0005-0000-0000-000008360000}"/>
    <cellStyle name="Percent 49 4 2" xfId="13814" xr:uid="{00000000-0005-0000-0000-000009360000}"/>
    <cellStyle name="Percent 49 4 2 2" xfId="13815" xr:uid="{00000000-0005-0000-0000-00000A360000}"/>
    <cellStyle name="Percent 49 4 3" xfId="13816" xr:uid="{00000000-0005-0000-0000-00000B360000}"/>
    <cellStyle name="Percent 49 4 3 2" xfId="13817" xr:uid="{00000000-0005-0000-0000-00000C360000}"/>
    <cellStyle name="Percent 49 4 4" xfId="13818" xr:uid="{00000000-0005-0000-0000-00000D360000}"/>
    <cellStyle name="Percent 49 5" xfId="13819" xr:uid="{00000000-0005-0000-0000-00000E360000}"/>
    <cellStyle name="Percent 49 5 2" xfId="13820" xr:uid="{00000000-0005-0000-0000-00000F360000}"/>
    <cellStyle name="Percent 49 5 2 2" xfId="13821" xr:uid="{00000000-0005-0000-0000-000010360000}"/>
    <cellStyle name="Percent 49 5 3" xfId="13822" xr:uid="{00000000-0005-0000-0000-000011360000}"/>
    <cellStyle name="Percent 49 6" xfId="13823" xr:uid="{00000000-0005-0000-0000-000012360000}"/>
    <cellStyle name="Percent 49 6 2" xfId="13824" xr:uid="{00000000-0005-0000-0000-000013360000}"/>
    <cellStyle name="Percent 49 7" xfId="13825" xr:uid="{00000000-0005-0000-0000-000014360000}"/>
    <cellStyle name="Percent 49 7 2" xfId="13826" xr:uid="{00000000-0005-0000-0000-000015360000}"/>
    <cellStyle name="Percent 49 8" xfId="13827" xr:uid="{00000000-0005-0000-0000-000016360000}"/>
    <cellStyle name="Percent 5" xfId="243" xr:uid="{00000000-0005-0000-0000-000017360000}"/>
    <cellStyle name="Percent 5 2" xfId="244" xr:uid="{00000000-0005-0000-0000-000018360000}"/>
    <cellStyle name="Percent 5 2 2" xfId="13828" xr:uid="{00000000-0005-0000-0000-000019360000}"/>
    <cellStyle name="Percent 5 2 2 2" xfId="13829" xr:uid="{00000000-0005-0000-0000-00001A360000}"/>
    <cellStyle name="Percent 5 3" xfId="13830" xr:uid="{00000000-0005-0000-0000-00001B360000}"/>
    <cellStyle name="Percent 5 3 2" xfId="13831" xr:uid="{00000000-0005-0000-0000-00001C360000}"/>
    <cellStyle name="Percent 5 3 2 2" xfId="13832" xr:uid="{00000000-0005-0000-0000-00001D360000}"/>
    <cellStyle name="Percent 5 3 3" xfId="13833" xr:uid="{00000000-0005-0000-0000-00001E360000}"/>
    <cellStyle name="Percent 5 4" xfId="13834" xr:uid="{00000000-0005-0000-0000-00001F360000}"/>
    <cellStyle name="Percent 5 5" xfId="13835" xr:uid="{00000000-0005-0000-0000-000020360000}"/>
    <cellStyle name="Percent 50" xfId="13836" xr:uid="{00000000-0005-0000-0000-000021360000}"/>
    <cellStyle name="Percent 50 2" xfId="13837" xr:uid="{00000000-0005-0000-0000-000022360000}"/>
    <cellStyle name="Percent 50 2 2" xfId="13838" xr:uid="{00000000-0005-0000-0000-000023360000}"/>
    <cellStyle name="Percent 50 2 2 2" xfId="13839" xr:uid="{00000000-0005-0000-0000-000024360000}"/>
    <cellStyle name="Percent 50 2 2 2 2" xfId="13840" xr:uid="{00000000-0005-0000-0000-000025360000}"/>
    <cellStyle name="Percent 50 2 2 2 2 2" xfId="13841" xr:uid="{00000000-0005-0000-0000-000026360000}"/>
    <cellStyle name="Percent 50 2 2 2 3" xfId="13842" xr:uid="{00000000-0005-0000-0000-000027360000}"/>
    <cellStyle name="Percent 50 2 2 2 3 2" xfId="13843" xr:uid="{00000000-0005-0000-0000-000028360000}"/>
    <cellStyle name="Percent 50 2 2 2 4" xfId="13844" xr:uid="{00000000-0005-0000-0000-000029360000}"/>
    <cellStyle name="Percent 50 2 2 3" xfId="13845" xr:uid="{00000000-0005-0000-0000-00002A360000}"/>
    <cellStyle name="Percent 50 2 2 3 2" xfId="13846" xr:uid="{00000000-0005-0000-0000-00002B360000}"/>
    <cellStyle name="Percent 50 2 2 3 2 2" xfId="13847" xr:uid="{00000000-0005-0000-0000-00002C360000}"/>
    <cellStyle name="Percent 50 2 2 3 3" xfId="13848" xr:uid="{00000000-0005-0000-0000-00002D360000}"/>
    <cellStyle name="Percent 50 2 2 4" xfId="13849" xr:uid="{00000000-0005-0000-0000-00002E360000}"/>
    <cellStyle name="Percent 50 2 2 4 2" xfId="13850" xr:uid="{00000000-0005-0000-0000-00002F360000}"/>
    <cellStyle name="Percent 50 2 2 5" xfId="13851" xr:uid="{00000000-0005-0000-0000-000030360000}"/>
    <cellStyle name="Percent 50 2 2 5 2" xfId="13852" xr:uid="{00000000-0005-0000-0000-000031360000}"/>
    <cellStyle name="Percent 50 2 2 6" xfId="13853" xr:uid="{00000000-0005-0000-0000-000032360000}"/>
    <cellStyle name="Percent 50 2 3" xfId="13854" xr:uid="{00000000-0005-0000-0000-000033360000}"/>
    <cellStyle name="Percent 50 2 3 2" xfId="13855" xr:uid="{00000000-0005-0000-0000-000034360000}"/>
    <cellStyle name="Percent 50 2 3 2 2" xfId="13856" xr:uid="{00000000-0005-0000-0000-000035360000}"/>
    <cellStyle name="Percent 50 2 3 3" xfId="13857" xr:uid="{00000000-0005-0000-0000-000036360000}"/>
    <cellStyle name="Percent 50 2 3 3 2" xfId="13858" xr:uid="{00000000-0005-0000-0000-000037360000}"/>
    <cellStyle name="Percent 50 2 3 4" xfId="13859" xr:uid="{00000000-0005-0000-0000-000038360000}"/>
    <cellStyle name="Percent 50 2 4" xfId="13860" xr:uid="{00000000-0005-0000-0000-000039360000}"/>
    <cellStyle name="Percent 50 2 4 2" xfId="13861" xr:uid="{00000000-0005-0000-0000-00003A360000}"/>
    <cellStyle name="Percent 50 2 4 2 2" xfId="13862" xr:uid="{00000000-0005-0000-0000-00003B360000}"/>
    <cellStyle name="Percent 50 2 4 3" xfId="13863" xr:uid="{00000000-0005-0000-0000-00003C360000}"/>
    <cellStyle name="Percent 50 2 5" xfId="13864" xr:uid="{00000000-0005-0000-0000-00003D360000}"/>
    <cellStyle name="Percent 50 2 5 2" xfId="13865" xr:uid="{00000000-0005-0000-0000-00003E360000}"/>
    <cellStyle name="Percent 50 2 6" xfId="13866" xr:uid="{00000000-0005-0000-0000-00003F360000}"/>
    <cellStyle name="Percent 50 2 6 2" xfId="13867" xr:uid="{00000000-0005-0000-0000-000040360000}"/>
    <cellStyle name="Percent 50 2 7" xfId="13868" xr:uid="{00000000-0005-0000-0000-000041360000}"/>
    <cellStyle name="Percent 50 3" xfId="13869" xr:uid="{00000000-0005-0000-0000-000042360000}"/>
    <cellStyle name="Percent 50 3 2" xfId="13870" xr:uid="{00000000-0005-0000-0000-000043360000}"/>
    <cellStyle name="Percent 50 3 2 2" xfId="13871" xr:uid="{00000000-0005-0000-0000-000044360000}"/>
    <cellStyle name="Percent 50 3 2 2 2" xfId="13872" xr:uid="{00000000-0005-0000-0000-000045360000}"/>
    <cellStyle name="Percent 50 3 2 3" xfId="13873" xr:uid="{00000000-0005-0000-0000-000046360000}"/>
    <cellStyle name="Percent 50 3 2 3 2" xfId="13874" xr:uid="{00000000-0005-0000-0000-000047360000}"/>
    <cellStyle name="Percent 50 3 2 4" xfId="13875" xr:uid="{00000000-0005-0000-0000-000048360000}"/>
    <cellStyle name="Percent 50 3 3" xfId="13876" xr:uid="{00000000-0005-0000-0000-000049360000}"/>
    <cellStyle name="Percent 50 3 3 2" xfId="13877" xr:uid="{00000000-0005-0000-0000-00004A360000}"/>
    <cellStyle name="Percent 50 3 3 2 2" xfId="13878" xr:uid="{00000000-0005-0000-0000-00004B360000}"/>
    <cellStyle name="Percent 50 3 3 3" xfId="13879" xr:uid="{00000000-0005-0000-0000-00004C360000}"/>
    <cellStyle name="Percent 50 3 4" xfId="13880" xr:uid="{00000000-0005-0000-0000-00004D360000}"/>
    <cellStyle name="Percent 50 3 4 2" xfId="13881" xr:uid="{00000000-0005-0000-0000-00004E360000}"/>
    <cellStyle name="Percent 50 3 5" xfId="13882" xr:uid="{00000000-0005-0000-0000-00004F360000}"/>
    <cellStyle name="Percent 50 3 5 2" xfId="13883" xr:uid="{00000000-0005-0000-0000-000050360000}"/>
    <cellStyle name="Percent 50 3 6" xfId="13884" xr:uid="{00000000-0005-0000-0000-000051360000}"/>
    <cellStyle name="Percent 50 4" xfId="13885" xr:uid="{00000000-0005-0000-0000-000052360000}"/>
    <cellStyle name="Percent 50 4 2" xfId="13886" xr:uid="{00000000-0005-0000-0000-000053360000}"/>
    <cellStyle name="Percent 50 4 2 2" xfId="13887" xr:uid="{00000000-0005-0000-0000-000054360000}"/>
    <cellStyle name="Percent 50 4 3" xfId="13888" xr:uid="{00000000-0005-0000-0000-000055360000}"/>
    <cellStyle name="Percent 50 4 3 2" xfId="13889" xr:uid="{00000000-0005-0000-0000-000056360000}"/>
    <cellStyle name="Percent 50 4 4" xfId="13890" xr:uid="{00000000-0005-0000-0000-000057360000}"/>
    <cellStyle name="Percent 50 5" xfId="13891" xr:uid="{00000000-0005-0000-0000-000058360000}"/>
    <cellStyle name="Percent 50 5 2" xfId="13892" xr:uid="{00000000-0005-0000-0000-000059360000}"/>
    <cellStyle name="Percent 50 5 2 2" xfId="13893" xr:uid="{00000000-0005-0000-0000-00005A360000}"/>
    <cellStyle name="Percent 50 5 3" xfId="13894" xr:uid="{00000000-0005-0000-0000-00005B360000}"/>
    <cellStyle name="Percent 50 6" xfId="13895" xr:uid="{00000000-0005-0000-0000-00005C360000}"/>
    <cellStyle name="Percent 50 6 2" xfId="13896" xr:uid="{00000000-0005-0000-0000-00005D360000}"/>
    <cellStyle name="Percent 50 7" xfId="13897" xr:uid="{00000000-0005-0000-0000-00005E360000}"/>
    <cellStyle name="Percent 50 7 2" xfId="13898" xr:uid="{00000000-0005-0000-0000-00005F360000}"/>
    <cellStyle name="Percent 50 8" xfId="13899" xr:uid="{00000000-0005-0000-0000-000060360000}"/>
    <cellStyle name="Percent 51" xfId="13900" xr:uid="{00000000-0005-0000-0000-000061360000}"/>
    <cellStyle name="Percent 51 2" xfId="13901" xr:uid="{00000000-0005-0000-0000-000062360000}"/>
    <cellStyle name="Percent 51 2 2" xfId="13902" xr:uid="{00000000-0005-0000-0000-000063360000}"/>
    <cellStyle name="Percent 51 2 2 2" xfId="13903" xr:uid="{00000000-0005-0000-0000-000064360000}"/>
    <cellStyle name="Percent 51 2 2 2 2" xfId="13904" xr:uid="{00000000-0005-0000-0000-000065360000}"/>
    <cellStyle name="Percent 51 2 2 2 2 2" xfId="13905" xr:uid="{00000000-0005-0000-0000-000066360000}"/>
    <cellStyle name="Percent 51 2 2 2 3" xfId="13906" xr:uid="{00000000-0005-0000-0000-000067360000}"/>
    <cellStyle name="Percent 51 2 2 2 3 2" xfId="13907" xr:uid="{00000000-0005-0000-0000-000068360000}"/>
    <cellStyle name="Percent 51 2 2 2 4" xfId="13908" xr:uid="{00000000-0005-0000-0000-000069360000}"/>
    <cellStyle name="Percent 51 2 2 3" xfId="13909" xr:uid="{00000000-0005-0000-0000-00006A360000}"/>
    <cellStyle name="Percent 51 2 2 3 2" xfId="13910" xr:uid="{00000000-0005-0000-0000-00006B360000}"/>
    <cellStyle name="Percent 51 2 2 3 2 2" xfId="13911" xr:uid="{00000000-0005-0000-0000-00006C360000}"/>
    <cellStyle name="Percent 51 2 2 3 3" xfId="13912" xr:uid="{00000000-0005-0000-0000-00006D360000}"/>
    <cellStyle name="Percent 51 2 2 4" xfId="13913" xr:uid="{00000000-0005-0000-0000-00006E360000}"/>
    <cellStyle name="Percent 51 2 2 4 2" xfId="13914" xr:uid="{00000000-0005-0000-0000-00006F360000}"/>
    <cellStyle name="Percent 51 2 2 5" xfId="13915" xr:uid="{00000000-0005-0000-0000-000070360000}"/>
    <cellStyle name="Percent 51 2 2 5 2" xfId="13916" xr:uid="{00000000-0005-0000-0000-000071360000}"/>
    <cellStyle name="Percent 51 2 2 6" xfId="13917" xr:uid="{00000000-0005-0000-0000-000072360000}"/>
    <cellStyle name="Percent 51 2 3" xfId="13918" xr:uid="{00000000-0005-0000-0000-000073360000}"/>
    <cellStyle name="Percent 51 2 3 2" xfId="13919" xr:uid="{00000000-0005-0000-0000-000074360000}"/>
    <cellStyle name="Percent 51 2 3 2 2" xfId="13920" xr:uid="{00000000-0005-0000-0000-000075360000}"/>
    <cellStyle name="Percent 51 2 3 3" xfId="13921" xr:uid="{00000000-0005-0000-0000-000076360000}"/>
    <cellStyle name="Percent 51 2 3 3 2" xfId="13922" xr:uid="{00000000-0005-0000-0000-000077360000}"/>
    <cellStyle name="Percent 51 2 3 4" xfId="13923" xr:uid="{00000000-0005-0000-0000-000078360000}"/>
    <cellStyle name="Percent 51 2 4" xfId="13924" xr:uid="{00000000-0005-0000-0000-000079360000}"/>
    <cellStyle name="Percent 51 2 4 2" xfId="13925" xr:uid="{00000000-0005-0000-0000-00007A360000}"/>
    <cellStyle name="Percent 51 2 4 2 2" xfId="13926" xr:uid="{00000000-0005-0000-0000-00007B360000}"/>
    <cellStyle name="Percent 51 2 4 3" xfId="13927" xr:uid="{00000000-0005-0000-0000-00007C360000}"/>
    <cellStyle name="Percent 51 2 5" xfId="13928" xr:uid="{00000000-0005-0000-0000-00007D360000}"/>
    <cellStyle name="Percent 51 2 5 2" xfId="13929" xr:uid="{00000000-0005-0000-0000-00007E360000}"/>
    <cellStyle name="Percent 51 2 6" xfId="13930" xr:uid="{00000000-0005-0000-0000-00007F360000}"/>
    <cellStyle name="Percent 51 2 6 2" xfId="13931" xr:uid="{00000000-0005-0000-0000-000080360000}"/>
    <cellStyle name="Percent 51 2 7" xfId="13932" xr:uid="{00000000-0005-0000-0000-000081360000}"/>
    <cellStyle name="Percent 51 3" xfId="13933" xr:uid="{00000000-0005-0000-0000-000082360000}"/>
    <cellStyle name="Percent 51 3 2" xfId="13934" xr:uid="{00000000-0005-0000-0000-000083360000}"/>
    <cellStyle name="Percent 51 3 2 2" xfId="13935" xr:uid="{00000000-0005-0000-0000-000084360000}"/>
    <cellStyle name="Percent 51 3 2 2 2" xfId="13936" xr:uid="{00000000-0005-0000-0000-000085360000}"/>
    <cellStyle name="Percent 51 3 2 3" xfId="13937" xr:uid="{00000000-0005-0000-0000-000086360000}"/>
    <cellStyle name="Percent 51 3 2 3 2" xfId="13938" xr:uid="{00000000-0005-0000-0000-000087360000}"/>
    <cellStyle name="Percent 51 3 2 4" xfId="13939" xr:uid="{00000000-0005-0000-0000-000088360000}"/>
    <cellStyle name="Percent 51 3 3" xfId="13940" xr:uid="{00000000-0005-0000-0000-000089360000}"/>
    <cellStyle name="Percent 51 3 3 2" xfId="13941" xr:uid="{00000000-0005-0000-0000-00008A360000}"/>
    <cellStyle name="Percent 51 3 3 2 2" xfId="13942" xr:uid="{00000000-0005-0000-0000-00008B360000}"/>
    <cellStyle name="Percent 51 3 3 3" xfId="13943" xr:uid="{00000000-0005-0000-0000-00008C360000}"/>
    <cellStyle name="Percent 51 3 4" xfId="13944" xr:uid="{00000000-0005-0000-0000-00008D360000}"/>
    <cellStyle name="Percent 51 3 4 2" xfId="13945" xr:uid="{00000000-0005-0000-0000-00008E360000}"/>
    <cellStyle name="Percent 51 3 5" xfId="13946" xr:uid="{00000000-0005-0000-0000-00008F360000}"/>
    <cellStyle name="Percent 51 3 5 2" xfId="13947" xr:uid="{00000000-0005-0000-0000-000090360000}"/>
    <cellStyle name="Percent 51 3 6" xfId="13948" xr:uid="{00000000-0005-0000-0000-000091360000}"/>
    <cellStyle name="Percent 51 4" xfId="13949" xr:uid="{00000000-0005-0000-0000-000092360000}"/>
    <cellStyle name="Percent 51 4 2" xfId="13950" xr:uid="{00000000-0005-0000-0000-000093360000}"/>
    <cellStyle name="Percent 51 4 2 2" xfId="13951" xr:uid="{00000000-0005-0000-0000-000094360000}"/>
    <cellStyle name="Percent 51 4 3" xfId="13952" xr:uid="{00000000-0005-0000-0000-000095360000}"/>
    <cellStyle name="Percent 51 4 3 2" xfId="13953" xr:uid="{00000000-0005-0000-0000-000096360000}"/>
    <cellStyle name="Percent 51 4 4" xfId="13954" xr:uid="{00000000-0005-0000-0000-000097360000}"/>
    <cellStyle name="Percent 51 5" xfId="13955" xr:uid="{00000000-0005-0000-0000-000098360000}"/>
    <cellStyle name="Percent 51 5 2" xfId="13956" xr:uid="{00000000-0005-0000-0000-000099360000}"/>
    <cellStyle name="Percent 51 5 2 2" xfId="13957" xr:uid="{00000000-0005-0000-0000-00009A360000}"/>
    <cellStyle name="Percent 51 5 3" xfId="13958" xr:uid="{00000000-0005-0000-0000-00009B360000}"/>
    <cellStyle name="Percent 51 6" xfId="13959" xr:uid="{00000000-0005-0000-0000-00009C360000}"/>
    <cellStyle name="Percent 51 6 2" xfId="13960" xr:uid="{00000000-0005-0000-0000-00009D360000}"/>
    <cellStyle name="Percent 51 7" xfId="13961" xr:uid="{00000000-0005-0000-0000-00009E360000}"/>
    <cellStyle name="Percent 51 7 2" xfId="13962" xr:uid="{00000000-0005-0000-0000-00009F360000}"/>
    <cellStyle name="Percent 51 8" xfId="13963" xr:uid="{00000000-0005-0000-0000-0000A0360000}"/>
    <cellStyle name="Percent 52" xfId="13964" xr:uid="{00000000-0005-0000-0000-0000A1360000}"/>
    <cellStyle name="Percent 52 2" xfId="13965" xr:uid="{00000000-0005-0000-0000-0000A2360000}"/>
    <cellStyle name="Percent 52 2 2" xfId="13966" xr:uid="{00000000-0005-0000-0000-0000A3360000}"/>
    <cellStyle name="Percent 52 2 2 2" xfId="13967" xr:uid="{00000000-0005-0000-0000-0000A4360000}"/>
    <cellStyle name="Percent 52 2 2 2 2" xfId="13968" xr:uid="{00000000-0005-0000-0000-0000A5360000}"/>
    <cellStyle name="Percent 52 2 2 2 2 2" xfId="13969" xr:uid="{00000000-0005-0000-0000-0000A6360000}"/>
    <cellStyle name="Percent 52 2 2 2 3" xfId="13970" xr:uid="{00000000-0005-0000-0000-0000A7360000}"/>
    <cellStyle name="Percent 52 2 2 2 3 2" xfId="13971" xr:uid="{00000000-0005-0000-0000-0000A8360000}"/>
    <cellStyle name="Percent 52 2 2 2 4" xfId="13972" xr:uid="{00000000-0005-0000-0000-0000A9360000}"/>
    <cellStyle name="Percent 52 2 2 3" xfId="13973" xr:uid="{00000000-0005-0000-0000-0000AA360000}"/>
    <cellStyle name="Percent 52 2 2 3 2" xfId="13974" xr:uid="{00000000-0005-0000-0000-0000AB360000}"/>
    <cellStyle name="Percent 52 2 2 3 2 2" xfId="13975" xr:uid="{00000000-0005-0000-0000-0000AC360000}"/>
    <cellStyle name="Percent 52 2 2 3 3" xfId="13976" xr:uid="{00000000-0005-0000-0000-0000AD360000}"/>
    <cellStyle name="Percent 52 2 2 4" xfId="13977" xr:uid="{00000000-0005-0000-0000-0000AE360000}"/>
    <cellStyle name="Percent 52 2 2 4 2" xfId="13978" xr:uid="{00000000-0005-0000-0000-0000AF360000}"/>
    <cellStyle name="Percent 52 2 2 5" xfId="13979" xr:uid="{00000000-0005-0000-0000-0000B0360000}"/>
    <cellStyle name="Percent 52 2 2 5 2" xfId="13980" xr:uid="{00000000-0005-0000-0000-0000B1360000}"/>
    <cellStyle name="Percent 52 2 2 6" xfId="13981" xr:uid="{00000000-0005-0000-0000-0000B2360000}"/>
    <cellStyle name="Percent 52 2 3" xfId="13982" xr:uid="{00000000-0005-0000-0000-0000B3360000}"/>
    <cellStyle name="Percent 52 2 3 2" xfId="13983" xr:uid="{00000000-0005-0000-0000-0000B4360000}"/>
    <cellStyle name="Percent 52 2 3 2 2" xfId="13984" xr:uid="{00000000-0005-0000-0000-0000B5360000}"/>
    <cellStyle name="Percent 52 2 3 3" xfId="13985" xr:uid="{00000000-0005-0000-0000-0000B6360000}"/>
    <cellStyle name="Percent 52 2 3 3 2" xfId="13986" xr:uid="{00000000-0005-0000-0000-0000B7360000}"/>
    <cellStyle name="Percent 52 2 3 4" xfId="13987" xr:uid="{00000000-0005-0000-0000-0000B8360000}"/>
    <cellStyle name="Percent 52 2 4" xfId="13988" xr:uid="{00000000-0005-0000-0000-0000B9360000}"/>
    <cellStyle name="Percent 52 2 4 2" xfId="13989" xr:uid="{00000000-0005-0000-0000-0000BA360000}"/>
    <cellStyle name="Percent 52 2 4 2 2" xfId="13990" xr:uid="{00000000-0005-0000-0000-0000BB360000}"/>
    <cellStyle name="Percent 52 2 4 3" xfId="13991" xr:uid="{00000000-0005-0000-0000-0000BC360000}"/>
    <cellStyle name="Percent 52 2 5" xfId="13992" xr:uid="{00000000-0005-0000-0000-0000BD360000}"/>
    <cellStyle name="Percent 52 2 5 2" xfId="13993" xr:uid="{00000000-0005-0000-0000-0000BE360000}"/>
    <cellStyle name="Percent 52 2 6" xfId="13994" xr:uid="{00000000-0005-0000-0000-0000BF360000}"/>
    <cellStyle name="Percent 52 2 6 2" xfId="13995" xr:uid="{00000000-0005-0000-0000-0000C0360000}"/>
    <cellStyle name="Percent 52 2 7" xfId="13996" xr:uid="{00000000-0005-0000-0000-0000C1360000}"/>
    <cellStyle name="Percent 52 3" xfId="13997" xr:uid="{00000000-0005-0000-0000-0000C2360000}"/>
    <cellStyle name="Percent 52 3 2" xfId="13998" xr:uid="{00000000-0005-0000-0000-0000C3360000}"/>
    <cellStyle name="Percent 52 3 2 2" xfId="13999" xr:uid="{00000000-0005-0000-0000-0000C4360000}"/>
    <cellStyle name="Percent 52 3 2 2 2" xfId="14000" xr:uid="{00000000-0005-0000-0000-0000C5360000}"/>
    <cellStyle name="Percent 52 3 2 3" xfId="14001" xr:uid="{00000000-0005-0000-0000-0000C6360000}"/>
    <cellStyle name="Percent 52 3 2 3 2" xfId="14002" xr:uid="{00000000-0005-0000-0000-0000C7360000}"/>
    <cellStyle name="Percent 52 3 2 4" xfId="14003" xr:uid="{00000000-0005-0000-0000-0000C8360000}"/>
    <cellStyle name="Percent 52 3 3" xfId="14004" xr:uid="{00000000-0005-0000-0000-0000C9360000}"/>
    <cellStyle name="Percent 52 3 3 2" xfId="14005" xr:uid="{00000000-0005-0000-0000-0000CA360000}"/>
    <cellStyle name="Percent 52 3 3 2 2" xfId="14006" xr:uid="{00000000-0005-0000-0000-0000CB360000}"/>
    <cellStyle name="Percent 52 3 3 3" xfId="14007" xr:uid="{00000000-0005-0000-0000-0000CC360000}"/>
    <cellStyle name="Percent 52 3 4" xfId="14008" xr:uid="{00000000-0005-0000-0000-0000CD360000}"/>
    <cellStyle name="Percent 52 3 4 2" xfId="14009" xr:uid="{00000000-0005-0000-0000-0000CE360000}"/>
    <cellStyle name="Percent 52 3 5" xfId="14010" xr:uid="{00000000-0005-0000-0000-0000CF360000}"/>
    <cellStyle name="Percent 52 3 5 2" xfId="14011" xr:uid="{00000000-0005-0000-0000-0000D0360000}"/>
    <cellStyle name="Percent 52 3 6" xfId="14012" xr:uid="{00000000-0005-0000-0000-0000D1360000}"/>
    <cellStyle name="Percent 52 4" xfId="14013" xr:uid="{00000000-0005-0000-0000-0000D2360000}"/>
    <cellStyle name="Percent 52 4 2" xfId="14014" xr:uid="{00000000-0005-0000-0000-0000D3360000}"/>
    <cellStyle name="Percent 52 4 2 2" xfId="14015" xr:uid="{00000000-0005-0000-0000-0000D4360000}"/>
    <cellStyle name="Percent 52 4 3" xfId="14016" xr:uid="{00000000-0005-0000-0000-0000D5360000}"/>
    <cellStyle name="Percent 52 4 3 2" xfId="14017" xr:uid="{00000000-0005-0000-0000-0000D6360000}"/>
    <cellStyle name="Percent 52 4 4" xfId="14018" xr:uid="{00000000-0005-0000-0000-0000D7360000}"/>
    <cellStyle name="Percent 52 5" xfId="14019" xr:uid="{00000000-0005-0000-0000-0000D8360000}"/>
    <cellStyle name="Percent 52 5 2" xfId="14020" xr:uid="{00000000-0005-0000-0000-0000D9360000}"/>
    <cellStyle name="Percent 52 5 2 2" xfId="14021" xr:uid="{00000000-0005-0000-0000-0000DA360000}"/>
    <cellStyle name="Percent 52 5 3" xfId="14022" xr:uid="{00000000-0005-0000-0000-0000DB360000}"/>
    <cellStyle name="Percent 52 6" xfId="14023" xr:uid="{00000000-0005-0000-0000-0000DC360000}"/>
    <cellStyle name="Percent 52 6 2" xfId="14024" xr:uid="{00000000-0005-0000-0000-0000DD360000}"/>
    <cellStyle name="Percent 52 7" xfId="14025" xr:uid="{00000000-0005-0000-0000-0000DE360000}"/>
    <cellStyle name="Percent 52 7 2" xfId="14026" xr:uid="{00000000-0005-0000-0000-0000DF360000}"/>
    <cellStyle name="Percent 52 8" xfId="14027" xr:uid="{00000000-0005-0000-0000-0000E0360000}"/>
    <cellStyle name="Percent 53" xfId="14028" xr:uid="{00000000-0005-0000-0000-0000E1360000}"/>
    <cellStyle name="Percent 53 2" xfId="14029" xr:uid="{00000000-0005-0000-0000-0000E2360000}"/>
    <cellStyle name="Percent 53 2 2" xfId="14030" xr:uid="{00000000-0005-0000-0000-0000E3360000}"/>
    <cellStyle name="Percent 53 2 2 2" xfId="14031" xr:uid="{00000000-0005-0000-0000-0000E4360000}"/>
    <cellStyle name="Percent 53 2 2 2 2" xfId="14032" xr:uid="{00000000-0005-0000-0000-0000E5360000}"/>
    <cellStyle name="Percent 53 2 2 2 2 2" xfId="14033" xr:uid="{00000000-0005-0000-0000-0000E6360000}"/>
    <cellStyle name="Percent 53 2 2 2 3" xfId="14034" xr:uid="{00000000-0005-0000-0000-0000E7360000}"/>
    <cellStyle name="Percent 53 2 2 2 3 2" xfId="14035" xr:uid="{00000000-0005-0000-0000-0000E8360000}"/>
    <cellStyle name="Percent 53 2 2 2 4" xfId="14036" xr:uid="{00000000-0005-0000-0000-0000E9360000}"/>
    <cellStyle name="Percent 53 2 2 3" xfId="14037" xr:uid="{00000000-0005-0000-0000-0000EA360000}"/>
    <cellStyle name="Percent 53 2 2 3 2" xfId="14038" xr:uid="{00000000-0005-0000-0000-0000EB360000}"/>
    <cellStyle name="Percent 53 2 2 3 2 2" xfId="14039" xr:uid="{00000000-0005-0000-0000-0000EC360000}"/>
    <cellStyle name="Percent 53 2 2 3 3" xfId="14040" xr:uid="{00000000-0005-0000-0000-0000ED360000}"/>
    <cellStyle name="Percent 53 2 2 4" xfId="14041" xr:uid="{00000000-0005-0000-0000-0000EE360000}"/>
    <cellStyle name="Percent 53 2 2 4 2" xfId="14042" xr:uid="{00000000-0005-0000-0000-0000EF360000}"/>
    <cellStyle name="Percent 53 2 2 5" xfId="14043" xr:uid="{00000000-0005-0000-0000-0000F0360000}"/>
    <cellStyle name="Percent 53 2 2 5 2" xfId="14044" xr:uid="{00000000-0005-0000-0000-0000F1360000}"/>
    <cellStyle name="Percent 53 2 2 6" xfId="14045" xr:uid="{00000000-0005-0000-0000-0000F2360000}"/>
    <cellStyle name="Percent 53 2 3" xfId="14046" xr:uid="{00000000-0005-0000-0000-0000F3360000}"/>
    <cellStyle name="Percent 53 2 3 2" xfId="14047" xr:uid="{00000000-0005-0000-0000-0000F4360000}"/>
    <cellStyle name="Percent 53 2 3 2 2" xfId="14048" xr:uid="{00000000-0005-0000-0000-0000F5360000}"/>
    <cellStyle name="Percent 53 2 3 3" xfId="14049" xr:uid="{00000000-0005-0000-0000-0000F6360000}"/>
    <cellStyle name="Percent 53 2 3 3 2" xfId="14050" xr:uid="{00000000-0005-0000-0000-0000F7360000}"/>
    <cellStyle name="Percent 53 2 3 4" xfId="14051" xr:uid="{00000000-0005-0000-0000-0000F8360000}"/>
    <cellStyle name="Percent 53 2 4" xfId="14052" xr:uid="{00000000-0005-0000-0000-0000F9360000}"/>
    <cellStyle name="Percent 53 2 4 2" xfId="14053" xr:uid="{00000000-0005-0000-0000-0000FA360000}"/>
    <cellStyle name="Percent 53 2 4 2 2" xfId="14054" xr:uid="{00000000-0005-0000-0000-0000FB360000}"/>
    <cellStyle name="Percent 53 2 4 3" xfId="14055" xr:uid="{00000000-0005-0000-0000-0000FC360000}"/>
    <cellStyle name="Percent 53 2 5" xfId="14056" xr:uid="{00000000-0005-0000-0000-0000FD360000}"/>
    <cellStyle name="Percent 53 2 5 2" xfId="14057" xr:uid="{00000000-0005-0000-0000-0000FE360000}"/>
    <cellStyle name="Percent 53 2 6" xfId="14058" xr:uid="{00000000-0005-0000-0000-0000FF360000}"/>
    <cellStyle name="Percent 53 2 6 2" xfId="14059" xr:uid="{00000000-0005-0000-0000-000000370000}"/>
    <cellStyle name="Percent 53 2 7" xfId="14060" xr:uid="{00000000-0005-0000-0000-000001370000}"/>
    <cellStyle name="Percent 53 3" xfId="14061" xr:uid="{00000000-0005-0000-0000-000002370000}"/>
    <cellStyle name="Percent 53 3 2" xfId="14062" xr:uid="{00000000-0005-0000-0000-000003370000}"/>
    <cellStyle name="Percent 53 3 2 2" xfId="14063" xr:uid="{00000000-0005-0000-0000-000004370000}"/>
    <cellStyle name="Percent 53 3 2 2 2" xfId="14064" xr:uid="{00000000-0005-0000-0000-000005370000}"/>
    <cellStyle name="Percent 53 3 2 3" xfId="14065" xr:uid="{00000000-0005-0000-0000-000006370000}"/>
    <cellStyle name="Percent 53 3 2 3 2" xfId="14066" xr:uid="{00000000-0005-0000-0000-000007370000}"/>
    <cellStyle name="Percent 53 3 2 4" xfId="14067" xr:uid="{00000000-0005-0000-0000-000008370000}"/>
    <cellStyle name="Percent 53 3 3" xfId="14068" xr:uid="{00000000-0005-0000-0000-000009370000}"/>
    <cellStyle name="Percent 53 3 3 2" xfId="14069" xr:uid="{00000000-0005-0000-0000-00000A370000}"/>
    <cellStyle name="Percent 53 3 3 2 2" xfId="14070" xr:uid="{00000000-0005-0000-0000-00000B370000}"/>
    <cellStyle name="Percent 53 3 3 3" xfId="14071" xr:uid="{00000000-0005-0000-0000-00000C370000}"/>
    <cellStyle name="Percent 53 3 4" xfId="14072" xr:uid="{00000000-0005-0000-0000-00000D370000}"/>
    <cellStyle name="Percent 53 3 4 2" xfId="14073" xr:uid="{00000000-0005-0000-0000-00000E370000}"/>
    <cellStyle name="Percent 53 3 5" xfId="14074" xr:uid="{00000000-0005-0000-0000-00000F370000}"/>
    <cellStyle name="Percent 53 3 5 2" xfId="14075" xr:uid="{00000000-0005-0000-0000-000010370000}"/>
    <cellStyle name="Percent 53 3 6" xfId="14076" xr:uid="{00000000-0005-0000-0000-000011370000}"/>
    <cellStyle name="Percent 53 4" xfId="14077" xr:uid="{00000000-0005-0000-0000-000012370000}"/>
    <cellStyle name="Percent 53 4 2" xfId="14078" xr:uid="{00000000-0005-0000-0000-000013370000}"/>
    <cellStyle name="Percent 53 4 2 2" xfId="14079" xr:uid="{00000000-0005-0000-0000-000014370000}"/>
    <cellStyle name="Percent 53 4 3" xfId="14080" xr:uid="{00000000-0005-0000-0000-000015370000}"/>
    <cellStyle name="Percent 53 4 3 2" xfId="14081" xr:uid="{00000000-0005-0000-0000-000016370000}"/>
    <cellStyle name="Percent 53 4 4" xfId="14082" xr:uid="{00000000-0005-0000-0000-000017370000}"/>
    <cellStyle name="Percent 53 5" xfId="14083" xr:uid="{00000000-0005-0000-0000-000018370000}"/>
    <cellStyle name="Percent 53 5 2" xfId="14084" xr:uid="{00000000-0005-0000-0000-000019370000}"/>
    <cellStyle name="Percent 53 5 2 2" xfId="14085" xr:uid="{00000000-0005-0000-0000-00001A370000}"/>
    <cellStyle name="Percent 53 5 3" xfId="14086" xr:uid="{00000000-0005-0000-0000-00001B370000}"/>
    <cellStyle name="Percent 53 6" xfId="14087" xr:uid="{00000000-0005-0000-0000-00001C370000}"/>
    <cellStyle name="Percent 53 6 2" xfId="14088" xr:uid="{00000000-0005-0000-0000-00001D370000}"/>
    <cellStyle name="Percent 53 7" xfId="14089" xr:uid="{00000000-0005-0000-0000-00001E370000}"/>
    <cellStyle name="Percent 53 7 2" xfId="14090" xr:uid="{00000000-0005-0000-0000-00001F370000}"/>
    <cellStyle name="Percent 53 8" xfId="14091" xr:uid="{00000000-0005-0000-0000-000020370000}"/>
    <cellStyle name="Percent 54" xfId="14092" xr:uid="{00000000-0005-0000-0000-000021370000}"/>
    <cellStyle name="Percent 54 2" xfId="14093" xr:uid="{00000000-0005-0000-0000-000022370000}"/>
    <cellStyle name="Percent 54 2 2" xfId="14094" xr:uid="{00000000-0005-0000-0000-000023370000}"/>
    <cellStyle name="Percent 54 2 2 2" xfId="14095" xr:uid="{00000000-0005-0000-0000-000024370000}"/>
    <cellStyle name="Percent 54 2 2 2 2" xfId="14096" xr:uid="{00000000-0005-0000-0000-000025370000}"/>
    <cellStyle name="Percent 54 2 2 2 2 2" xfId="14097" xr:uid="{00000000-0005-0000-0000-000026370000}"/>
    <cellStyle name="Percent 54 2 2 2 3" xfId="14098" xr:uid="{00000000-0005-0000-0000-000027370000}"/>
    <cellStyle name="Percent 54 2 2 2 3 2" xfId="14099" xr:uid="{00000000-0005-0000-0000-000028370000}"/>
    <cellStyle name="Percent 54 2 2 2 4" xfId="14100" xr:uid="{00000000-0005-0000-0000-000029370000}"/>
    <cellStyle name="Percent 54 2 2 3" xfId="14101" xr:uid="{00000000-0005-0000-0000-00002A370000}"/>
    <cellStyle name="Percent 54 2 2 3 2" xfId="14102" xr:uid="{00000000-0005-0000-0000-00002B370000}"/>
    <cellStyle name="Percent 54 2 2 3 2 2" xfId="14103" xr:uid="{00000000-0005-0000-0000-00002C370000}"/>
    <cellStyle name="Percent 54 2 2 3 3" xfId="14104" xr:uid="{00000000-0005-0000-0000-00002D370000}"/>
    <cellStyle name="Percent 54 2 2 4" xfId="14105" xr:uid="{00000000-0005-0000-0000-00002E370000}"/>
    <cellStyle name="Percent 54 2 2 4 2" xfId="14106" xr:uid="{00000000-0005-0000-0000-00002F370000}"/>
    <cellStyle name="Percent 54 2 2 5" xfId="14107" xr:uid="{00000000-0005-0000-0000-000030370000}"/>
    <cellStyle name="Percent 54 2 2 5 2" xfId="14108" xr:uid="{00000000-0005-0000-0000-000031370000}"/>
    <cellStyle name="Percent 54 2 2 6" xfId="14109" xr:uid="{00000000-0005-0000-0000-000032370000}"/>
    <cellStyle name="Percent 54 2 3" xfId="14110" xr:uid="{00000000-0005-0000-0000-000033370000}"/>
    <cellStyle name="Percent 54 2 3 2" xfId="14111" xr:uid="{00000000-0005-0000-0000-000034370000}"/>
    <cellStyle name="Percent 54 2 3 2 2" xfId="14112" xr:uid="{00000000-0005-0000-0000-000035370000}"/>
    <cellStyle name="Percent 54 2 3 3" xfId="14113" xr:uid="{00000000-0005-0000-0000-000036370000}"/>
    <cellStyle name="Percent 54 2 3 3 2" xfId="14114" xr:uid="{00000000-0005-0000-0000-000037370000}"/>
    <cellStyle name="Percent 54 2 3 4" xfId="14115" xr:uid="{00000000-0005-0000-0000-000038370000}"/>
    <cellStyle name="Percent 54 2 4" xfId="14116" xr:uid="{00000000-0005-0000-0000-000039370000}"/>
    <cellStyle name="Percent 54 2 4 2" xfId="14117" xr:uid="{00000000-0005-0000-0000-00003A370000}"/>
    <cellStyle name="Percent 54 2 4 2 2" xfId="14118" xr:uid="{00000000-0005-0000-0000-00003B370000}"/>
    <cellStyle name="Percent 54 2 4 3" xfId="14119" xr:uid="{00000000-0005-0000-0000-00003C370000}"/>
    <cellStyle name="Percent 54 2 5" xfId="14120" xr:uid="{00000000-0005-0000-0000-00003D370000}"/>
    <cellStyle name="Percent 54 2 5 2" xfId="14121" xr:uid="{00000000-0005-0000-0000-00003E370000}"/>
    <cellStyle name="Percent 54 2 6" xfId="14122" xr:uid="{00000000-0005-0000-0000-00003F370000}"/>
    <cellStyle name="Percent 54 2 6 2" xfId="14123" xr:uid="{00000000-0005-0000-0000-000040370000}"/>
    <cellStyle name="Percent 54 2 7" xfId="14124" xr:uid="{00000000-0005-0000-0000-000041370000}"/>
    <cellStyle name="Percent 54 3" xfId="14125" xr:uid="{00000000-0005-0000-0000-000042370000}"/>
    <cellStyle name="Percent 54 3 2" xfId="14126" xr:uid="{00000000-0005-0000-0000-000043370000}"/>
    <cellStyle name="Percent 54 3 2 2" xfId="14127" xr:uid="{00000000-0005-0000-0000-000044370000}"/>
    <cellStyle name="Percent 54 3 2 2 2" xfId="14128" xr:uid="{00000000-0005-0000-0000-000045370000}"/>
    <cellStyle name="Percent 54 3 2 3" xfId="14129" xr:uid="{00000000-0005-0000-0000-000046370000}"/>
    <cellStyle name="Percent 54 3 2 3 2" xfId="14130" xr:uid="{00000000-0005-0000-0000-000047370000}"/>
    <cellStyle name="Percent 54 3 2 4" xfId="14131" xr:uid="{00000000-0005-0000-0000-000048370000}"/>
    <cellStyle name="Percent 54 3 3" xfId="14132" xr:uid="{00000000-0005-0000-0000-000049370000}"/>
    <cellStyle name="Percent 54 3 3 2" xfId="14133" xr:uid="{00000000-0005-0000-0000-00004A370000}"/>
    <cellStyle name="Percent 54 3 3 2 2" xfId="14134" xr:uid="{00000000-0005-0000-0000-00004B370000}"/>
    <cellStyle name="Percent 54 3 3 3" xfId="14135" xr:uid="{00000000-0005-0000-0000-00004C370000}"/>
    <cellStyle name="Percent 54 3 4" xfId="14136" xr:uid="{00000000-0005-0000-0000-00004D370000}"/>
    <cellStyle name="Percent 54 3 4 2" xfId="14137" xr:uid="{00000000-0005-0000-0000-00004E370000}"/>
    <cellStyle name="Percent 54 3 5" xfId="14138" xr:uid="{00000000-0005-0000-0000-00004F370000}"/>
    <cellStyle name="Percent 54 3 5 2" xfId="14139" xr:uid="{00000000-0005-0000-0000-000050370000}"/>
    <cellStyle name="Percent 54 3 6" xfId="14140" xr:uid="{00000000-0005-0000-0000-000051370000}"/>
    <cellStyle name="Percent 54 4" xfId="14141" xr:uid="{00000000-0005-0000-0000-000052370000}"/>
    <cellStyle name="Percent 54 4 2" xfId="14142" xr:uid="{00000000-0005-0000-0000-000053370000}"/>
    <cellStyle name="Percent 54 4 2 2" xfId="14143" xr:uid="{00000000-0005-0000-0000-000054370000}"/>
    <cellStyle name="Percent 54 4 3" xfId="14144" xr:uid="{00000000-0005-0000-0000-000055370000}"/>
    <cellStyle name="Percent 54 4 3 2" xfId="14145" xr:uid="{00000000-0005-0000-0000-000056370000}"/>
    <cellStyle name="Percent 54 4 4" xfId="14146" xr:uid="{00000000-0005-0000-0000-000057370000}"/>
    <cellStyle name="Percent 54 5" xfId="14147" xr:uid="{00000000-0005-0000-0000-000058370000}"/>
    <cellStyle name="Percent 54 5 2" xfId="14148" xr:uid="{00000000-0005-0000-0000-000059370000}"/>
    <cellStyle name="Percent 54 5 2 2" xfId="14149" xr:uid="{00000000-0005-0000-0000-00005A370000}"/>
    <cellStyle name="Percent 54 5 3" xfId="14150" xr:uid="{00000000-0005-0000-0000-00005B370000}"/>
    <cellStyle name="Percent 54 6" xfId="14151" xr:uid="{00000000-0005-0000-0000-00005C370000}"/>
    <cellStyle name="Percent 54 6 2" xfId="14152" xr:uid="{00000000-0005-0000-0000-00005D370000}"/>
    <cellStyle name="Percent 54 7" xfId="14153" xr:uid="{00000000-0005-0000-0000-00005E370000}"/>
    <cellStyle name="Percent 54 7 2" xfId="14154" xr:uid="{00000000-0005-0000-0000-00005F370000}"/>
    <cellStyle name="Percent 54 8" xfId="14155" xr:uid="{00000000-0005-0000-0000-000060370000}"/>
    <cellStyle name="Percent 55" xfId="14156" xr:uid="{00000000-0005-0000-0000-000061370000}"/>
    <cellStyle name="Percent 55 2" xfId="14157" xr:uid="{00000000-0005-0000-0000-000062370000}"/>
    <cellStyle name="Percent 55 2 2" xfId="14158" xr:uid="{00000000-0005-0000-0000-000063370000}"/>
    <cellStyle name="Percent 55 2 2 2" xfId="14159" xr:uid="{00000000-0005-0000-0000-000064370000}"/>
    <cellStyle name="Percent 55 2 2 2 2" xfId="14160" xr:uid="{00000000-0005-0000-0000-000065370000}"/>
    <cellStyle name="Percent 55 2 2 2 2 2" xfId="14161" xr:uid="{00000000-0005-0000-0000-000066370000}"/>
    <cellStyle name="Percent 55 2 2 2 3" xfId="14162" xr:uid="{00000000-0005-0000-0000-000067370000}"/>
    <cellStyle name="Percent 55 2 2 2 3 2" xfId="14163" xr:uid="{00000000-0005-0000-0000-000068370000}"/>
    <cellStyle name="Percent 55 2 2 2 4" xfId="14164" xr:uid="{00000000-0005-0000-0000-000069370000}"/>
    <cellStyle name="Percent 55 2 2 3" xfId="14165" xr:uid="{00000000-0005-0000-0000-00006A370000}"/>
    <cellStyle name="Percent 55 2 2 3 2" xfId="14166" xr:uid="{00000000-0005-0000-0000-00006B370000}"/>
    <cellStyle name="Percent 55 2 2 3 2 2" xfId="14167" xr:uid="{00000000-0005-0000-0000-00006C370000}"/>
    <cellStyle name="Percent 55 2 2 3 3" xfId="14168" xr:uid="{00000000-0005-0000-0000-00006D370000}"/>
    <cellStyle name="Percent 55 2 2 4" xfId="14169" xr:uid="{00000000-0005-0000-0000-00006E370000}"/>
    <cellStyle name="Percent 55 2 2 4 2" xfId="14170" xr:uid="{00000000-0005-0000-0000-00006F370000}"/>
    <cellStyle name="Percent 55 2 2 5" xfId="14171" xr:uid="{00000000-0005-0000-0000-000070370000}"/>
    <cellStyle name="Percent 55 2 2 5 2" xfId="14172" xr:uid="{00000000-0005-0000-0000-000071370000}"/>
    <cellStyle name="Percent 55 2 2 6" xfId="14173" xr:uid="{00000000-0005-0000-0000-000072370000}"/>
    <cellStyle name="Percent 55 2 3" xfId="14174" xr:uid="{00000000-0005-0000-0000-000073370000}"/>
    <cellStyle name="Percent 55 2 3 2" xfId="14175" xr:uid="{00000000-0005-0000-0000-000074370000}"/>
    <cellStyle name="Percent 55 2 3 2 2" xfId="14176" xr:uid="{00000000-0005-0000-0000-000075370000}"/>
    <cellStyle name="Percent 55 2 3 3" xfId="14177" xr:uid="{00000000-0005-0000-0000-000076370000}"/>
    <cellStyle name="Percent 55 2 3 3 2" xfId="14178" xr:uid="{00000000-0005-0000-0000-000077370000}"/>
    <cellStyle name="Percent 55 2 3 4" xfId="14179" xr:uid="{00000000-0005-0000-0000-000078370000}"/>
    <cellStyle name="Percent 55 2 4" xfId="14180" xr:uid="{00000000-0005-0000-0000-000079370000}"/>
    <cellStyle name="Percent 55 2 4 2" xfId="14181" xr:uid="{00000000-0005-0000-0000-00007A370000}"/>
    <cellStyle name="Percent 55 2 4 2 2" xfId="14182" xr:uid="{00000000-0005-0000-0000-00007B370000}"/>
    <cellStyle name="Percent 55 2 4 3" xfId="14183" xr:uid="{00000000-0005-0000-0000-00007C370000}"/>
    <cellStyle name="Percent 55 2 5" xfId="14184" xr:uid="{00000000-0005-0000-0000-00007D370000}"/>
    <cellStyle name="Percent 55 2 5 2" xfId="14185" xr:uid="{00000000-0005-0000-0000-00007E370000}"/>
    <cellStyle name="Percent 55 2 6" xfId="14186" xr:uid="{00000000-0005-0000-0000-00007F370000}"/>
    <cellStyle name="Percent 55 2 6 2" xfId="14187" xr:uid="{00000000-0005-0000-0000-000080370000}"/>
    <cellStyle name="Percent 55 2 7" xfId="14188" xr:uid="{00000000-0005-0000-0000-000081370000}"/>
    <cellStyle name="Percent 55 3" xfId="14189" xr:uid="{00000000-0005-0000-0000-000082370000}"/>
    <cellStyle name="Percent 55 3 2" xfId="14190" xr:uid="{00000000-0005-0000-0000-000083370000}"/>
    <cellStyle name="Percent 55 3 2 2" xfId="14191" xr:uid="{00000000-0005-0000-0000-000084370000}"/>
    <cellStyle name="Percent 55 3 2 2 2" xfId="14192" xr:uid="{00000000-0005-0000-0000-000085370000}"/>
    <cellStyle name="Percent 55 3 2 3" xfId="14193" xr:uid="{00000000-0005-0000-0000-000086370000}"/>
    <cellStyle name="Percent 55 3 2 3 2" xfId="14194" xr:uid="{00000000-0005-0000-0000-000087370000}"/>
    <cellStyle name="Percent 55 3 2 4" xfId="14195" xr:uid="{00000000-0005-0000-0000-000088370000}"/>
    <cellStyle name="Percent 55 3 3" xfId="14196" xr:uid="{00000000-0005-0000-0000-000089370000}"/>
    <cellStyle name="Percent 55 3 3 2" xfId="14197" xr:uid="{00000000-0005-0000-0000-00008A370000}"/>
    <cellStyle name="Percent 55 3 3 2 2" xfId="14198" xr:uid="{00000000-0005-0000-0000-00008B370000}"/>
    <cellStyle name="Percent 55 3 3 3" xfId="14199" xr:uid="{00000000-0005-0000-0000-00008C370000}"/>
    <cellStyle name="Percent 55 3 4" xfId="14200" xr:uid="{00000000-0005-0000-0000-00008D370000}"/>
    <cellStyle name="Percent 55 3 4 2" xfId="14201" xr:uid="{00000000-0005-0000-0000-00008E370000}"/>
    <cellStyle name="Percent 55 3 5" xfId="14202" xr:uid="{00000000-0005-0000-0000-00008F370000}"/>
    <cellStyle name="Percent 55 3 5 2" xfId="14203" xr:uid="{00000000-0005-0000-0000-000090370000}"/>
    <cellStyle name="Percent 55 3 6" xfId="14204" xr:uid="{00000000-0005-0000-0000-000091370000}"/>
    <cellStyle name="Percent 55 4" xfId="14205" xr:uid="{00000000-0005-0000-0000-000092370000}"/>
    <cellStyle name="Percent 55 4 2" xfId="14206" xr:uid="{00000000-0005-0000-0000-000093370000}"/>
    <cellStyle name="Percent 55 4 2 2" xfId="14207" xr:uid="{00000000-0005-0000-0000-000094370000}"/>
    <cellStyle name="Percent 55 4 3" xfId="14208" xr:uid="{00000000-0005-0000-0000-000095370000}"/>
    <cellStyle name="Percent 55 4 3 2" xfId="14209" xr:uid="{00000000-0005-0000-0000-000096370000}"/>
    <cellStyle name="Percent 55 4 4" xfId="14210" xr:uid="{00000000-0005-0000-0000-000097370000}"/>
    <cellStyle name="Percent 55 5" xfId="14211" xr:uid="{00000000-0005-0000-0000-000098370000}"/>
    <cellStyle name="Percent 55 5 2" xfId="14212" xr:uid="{00000000-0005-0000-0000-000099370000}"/>
    <cellStyle name="Percent 55 5 2 2" xfId="14213" xr:uid="{00000000-0005-0000-0000-00009A370000}"/>
    <cellStyle name="Percent 55 5 3" xfId="14214" xr:uid="{00000000-0005-0000-0000-00009B370000}"/>
    <cellStyle name="Percent 55 6" xfId="14215" xr:uid="{00000000-0005-0000-0000-00009C370000}"/>
    <cellStyle name="Percent 55 6 2" xfId="14216" xr:uid="{00000000-0005-0000-0000-00009D370000}"/>
    <cellStyle name="Percent 55 7" xfId="14217" xr:uid="{00000000-0005-0000-0000-00009E370000}"/>
    <cellStyle name="Percent 55 7 2" xfId="14218" xr:uid="{00000000-0005-0000-0000-00009F370000}"/>
    <cellStyle name="Percent 55 8" xfId="14219" xr:uid="{00000000-0005-0000-0000-0000A0370000}"/>
    <cellStyle name="Percent 56" xfId="14220" xr:uid="{00000000-0005-0000-0000-0000A1370000}"/>
    <cellStyle name="Percent 56 2" xfId="14221" xr:uid="{00000000-0005-0000-0000-0000A2370000}"/>
    <cellStyle name="Percent 56 2 2" xfId="14222" xr:uid="{00000000-0005-0000-0000-0000A3370000}"/>
    <cellStyle name="Percent 56 2 2 2" xfId="14223" xr:uid="{00000000-0005-0000-0000-0000A4370000}"/>
    <cellStyle name="Percent 56 2 2 2 2" xfId="14224" xr:uid="{00000000-0005-0000-0000-0000A5370000}"/>
    <cellStyle name="Percent 56 2 2 2 2 2" xfId="14225" xr:uid="{00000000-0005-0000-0000-0000A6370000}"/>
    <cellStyle name="Percent 56 2 2 2 3" xfId="14226" xr:uid="{00000000-0005-0000-0000-0000A7370000}"/>
    <cellStyle name="Percent 56 2 2 2 3 2" xfId="14227" xr:uid="{00000000-0005-0000-0000-0000A8370000}"/>
    <cellStyle name="Percent 56 2 2 2 4" xfId="14228" xr:uid="{00000000-0005-0000-0000-0000A9370000}"/>
    <cellStyle name="Percent 56 2 2 3" xfId="14229" xr:uid="{00000000-0005-0000-0000-0000AA370000}"/>
    <cellStyle name="Percent 56 2 2 3 2" xfId="14230" xr:uid="{00000000-0005-0000-0000-0000AB370000}"/>
    <cellStyle name="Percent 56 2 2 3 2 2" xfId="14231" xr:uid="{00000000-0005-0000-0000-0000AC370000}"/>
    <cellStyle name="Percent 56 2 2 3 3" xfId="14232" xr:uid="{00000000-0005-0000-0000-0000AD370000}"/>
    <cellStyle name="Percent 56 2 2 4" xfId="14233" xr:uid="{00000000-0005-0000-0000-0000AE370000}"/>
    <cellStyle name="Percent 56 2 2 4 2" xfId="14234" xr:uid="{00000000-0005-0000-0000-0000AF370000}"/>
    <cellStyle name="Percent 56 2 2 5" xfId="14235" xr:uid="{00000000-0005-0000-0000-0000B0370000}"/>
    <cellStyle name="Percent 56 2 2 5 2" xfId="14236" xr:uid="{00000000-0005-0000-0000-0000B1370000}"/>
    <cellStyle name="Percent 56 2 2 6" xfId="14237" xr:uid="{00000000-0005-0000-0000-0000B2370000}"/>
    <cellStyle name="Percent 56 2 3" xfId="14238" xr:uid="{00000000-0005-0000-0000-0000B3370000}"/>
    <cellStyle name="Percent 56 2 3 2" xfId="14239" xr:uid="{00000000-0005-0000-0000-0000B4370000}"/>
    <cellStyle name="Percent 56 2 3 2 2" xfId="14240" xr:uid="{00000000-0005-0000-0000-0000B5370000}"/>
    <cellStyle name="Percent 56 2 3 3" xfId="14241" xr:uid="{00000000-0005-0000-0000-0000B6370000}"/>
    <cellStyle name="Percent 56 2 3 3 2" xfId="14242" xr:uid="{00000000-0005-0000-0000-0000B7370000}"/>
    <cellStyle name="Percent 56 2 3 4" xfId="14243" xr:uid="{00000000-0005-0000-0000-0000B8370000}"/>
    <cellStyle name="Percent 56 2 4" xfId="14244" xr:uid="{00000000-0005-0000-0000-0000B9370000}"/>
    <cellStyle name="Percent 56 2 4 2" xfId="14245" xr:uid="{00000000-0005-0000-0000-0000BA370000}"/>
    <cellStyle name="Percent 56 2 4 2 2" xfId="14246" xr:uid="{00000000-0005-0000-0000-0000BB370000}"/>
    <cellStyle name="Percent 56 2 4 3" xfId="14247" xr:uid="{00000000-0005-0000-0000-0000BC370000}"/>
    <cellStyle name="Percent 56 2 5" xfId="14248" xr:uid="{00000000-0005-0000-0000-0000BD370000}"/>
    <cellStyle name="Percent 56 2 5 2" xfId="14249" xr:uid="{00000000-0005-0000-0000-0000BE370000}"/>
    <cellStyle name="Percent 56 2 6" xfId="14250" xr:uid="{00000000-0005-0000-0000-0000BF370000}"/>
    <cellStyle name="Percent 56 2 6 2" xfId="14251" xr:uid="{00000000-0005-0000-0000-0000C0370000}"/>
    <cellStyle name="Percent 56 2 7" xfId="14252" xr:uid="{00000000-0005-0000-0000-0000C1370000}"/>
    <cellStyle name="Percent 56 3" xfId="14253" xr:uid="{00000000-0005-0000-0000-0000C2370000}"/>
    <cellStyle name="Percent 56 3 2" xfId="14254" xr:uid="{00000000-0005-0000-0000-0000C3370000}"/>
    <cellStyle name="Percent 56 3 2 2" xfId="14255" xr:uid="{00000000-0005-0000-0000-0000C4370000}"/>
    <cellStyle name="Percent 56 3 2 2 2" xfId="14256" xr:uid="{00000000-0005-0000-0000-0000C5370000}"/>
    <cellStyle name="Percent 56 3 2 3" xfId="14257" xr:uid="{00000000-0005-0000-0000-0000C6370000}"/>
    <cellStyle name="Percent 56 3 2 3 2" xfId="14258" xr:uid="{00000000-0005-0000-0000-0000C7370000}"/>
    <cellStyle name="Percent 56 3 2 4" xfId="14259" xr:uid="{00000000-0005-0000-0000-0000C8370000}"/>
    <cellStyle name="Percent 56 3 3" xfId="14260" xr:uid="{00000000-0005-0000-0000-0000C9370000}"/>
    <cellStyle name="Percent 56 3 3 2" xfId="14261" xr:uid="{00000000-0005-0000-0000-0000CA370000}"/>
    <cellStyle name="Percent 56 3 3 2 2" xfId="14262" xr:uid="{00000000-0005-0000-0000-0000CB370000}"/>
    <cellStyle name="Percent 56 3 3 3" xfId="14263" xr:uid="{00000000-0005-0000-0000-0000CC370000}"/>
    <cellStyle name="Percent 56 3 4" xfId="14264" xr:uid="{00000000-0005-0000-0000-0000CD370000}"/>
    <cellStyle name="Percent 56 3 4 2" xfId="14265" xr:uid="{00000000-0005-0000-0000-0000CE370000}"/>
    <cellStyle name="Percent 56 3 5" xfId="14266" xr:uid="{00000000-0005-0000-0000-0000CF370000}"/>
    <cellStyle name="Percent 56 3 5 2" xfId="14267" xr:uid="{00000000-0005-0000-0000-0000D0370000}"/>
    <cellStyle name="Percent 56 3 6" xfId="14268" xr:uid="{00000000-0005-0000-0000-0000D1370000}"/>
    <cellStyle name="Percent 56 4" xfId="14269" xr:uid="{00000000-0005-0000-0000-0000D2370000}"/>
    <cellStyle name="Percent 56 4 2" xfId="14270" xr:uid="{00000000-0005-0000-0000-0000D3370000}"/>
    <cellStyle name="Percent 56 4 2 2" xfId="14271" xr:uid="{00000000-0005-0000-0000-0000D4370000}"/>
    <cellStyle name="Percent 56 4 3" xfId="14272" xr:uid="{00000000-0005-0000-0000-0000D5370000}"/>
    <cellStyle name="Percent 56 4 3 2" xfId="14273" xr:uid="{00000000-0005-0000-0000-0000D6370000}"/>
    <cellStyle name="Percent 56 4 4" xfId="14274" xr:uid="{00000000-0005-0000-0000-0000D7370000}"/>
    <cellStyle name="Percent 56 5" xfId="14275" xr:uid="{00000000-0005-0000-0000-0000D8370000}"/>
    <cellStyle name="Percent 56 5 2" xfId="14276" xr:uid="{00000000-0005-0000-0000-0000D9370000}"/>
    <cellStyle name="Percent 56 5 2 2" xfId="14277" xr:uid="{00000000-0005-0000-0000-0000DA370000}"/>
    <cellStyle name="Percent 56 5 3" xfId="14278" xr:uid="{00000000-0005-0000-0000-0000DB370000}"/>
    <cellStyle name="Percent 56 6" xfId="14279" xr:uid="{00000000-0005-0000-0000-0000DC370000}"/>
    <cellStyle name="Percent 56 6 2" xfId="14280" xr:uid="{00000000-0005-0000-0000-0000DD370000}"/>
    <cellStyle name="Percent 56 7" xfId="14281" xr:uid="{00000000-0005-0000-0000-0000DE370000}"/>
    <cellStyle name="Percent 56 7 2" xfId="14282" xr:uid="{00000000-0005-0000-0000-0000DF370000}"/>
    <cellStyle name="Percent 56 8" xfId="14283" xr:uid="{00000000-0005-0000-0000-0000E0370000}"/>
    <cellStyle name="Percent 57" xfId="14284" xr:uid="{00000000-0005-0000-0000-0000E1370000}"/>
    <cellStyle name="Percent 57 2" xfId="14285" xr:uid="{00000000-0005-0000-0000-0000E2370000}"/>
    <cellStyle name="Percent 57 2 2" xfId="14286" xr:uid="{00000000-0005-0000-0000-0000E3370000}"/>
    <cellStyle name="Percent 57 2 2 2" xfId="14287" xr:uid="{00000000-0005-0000-0000-0000E4370000}"/>
    <cellStyle name="Percent 57 2 2 2 2" xfId="14288" xr:uid="{00000000-0005-0000-0000-0000E5370000}"/>
    <cellStyle name="Percent 57 2 2 2 2 2" xfId="14289" xr:uid="{00000000-0005-0000-0000-0000E6370000}"/>
    <cellStyle name="Percent 57 2 2 2 3" xfId="14290" xr:uid="{00000000-0005-0000-0000-0000E7370000}"/>
    <cellStyle name="Percent 57 2 2 2 3 2" xfId="14291" xr:uid="{00000000-0005-0000-0000-0000E8370000}"/>
    <cellStyle name="Percent 57 2 2 2 4" xfId="14292" xr:uid="{00000000-0005-0000-0000-0000E9370000}"/>
    <cellStyle name="Percent 57 2 2 3" xfId="14293" xr:uid="{00000000-0005-0000-0000-0000EA370000}"/>
    <cellStyle name="Percent 57 2 2 3 2" xfId="14294" xr:uid="{00000000-0005-0000-0000-0000EB370000}"/>
    <cellStyle name="Percent 57 2 2 3 2 2" xfId="14295" xr:uid="{00000000-0005-0000-0000-0000EC370000}"/>
    <cellStyle name="Percent 57 2 2 3 3" xfId="14296" xr:uid="{00000000-0005-0000-0000-0000ED370000}"/>
    <cellStyle name="Percent 57 2 2 4" xfId="14297" xr:uid="{00000000-0005-0000-0000-0000EE370000}"/>
    <cellStyle name="Percent 57 2 2 4 2" xfId="14298" xr:uid="{00000000-0005-0000-0000-0000EF370000}"/>
    <cellStyle name="Percent 57 2 2 5" xfId="14299" xr:uid="{00000000-0005-0000-0000-0000F0370000}"/>
    <cellStyle name="Percent 57 2 2 5 2" xfId="14300" xr:uid="{00000000-0005-0000-0000-0000F1370000}"/>
    <cellStyle name="Percent 57 2 2 6" xfId="14301" xr:uid="{00000000-0005-0000-0000-0000F2370000}"/>
    <cellStyle name="Percent 57 2 3" xfId="14302" xr:uid="{00000000-0005-0000-0000-0000F3370000}"/>
    <cellStyle name="Percent 57 2 3 2" xfId="14303" xr:uid="{00000000-0005-0000-0000-0000F4370000}"/>
    <cellStyle name="Percent 57 2 3 2 2" xfId="14304" xr:uid="{00000000-0005-0000-0000-0000F5370000}"/>
    <cellStyle name="Percent 57 2 3 3" xfId="14305" xr:uid="{00000000-0005-0000-0000-0000F6370000}"/>
    <cellStyle name="Percent 57 2 3 3 2" xfId="14306" xr:uid="{00000000-0005-0000-0000-0000F7370000}"/>
    <cellStyle name="Percent 57 2 3 4" xfId="14307" xr:uid="{00000000-0005-0000-0000-0000F8370000}"/>
    <cellStyle name="Percent 57 2 4" xfId="14308" xr:uid="{00000000-0005-0000-0000-0000F9370000}"/>
    <cellStyle name="Percent 57 2 4 2" xfId="14309" xr:uid="{00000000-0005-0000-0000-0000FA370000}"/>
    <cellStyle name="Percent 57 2 4 2 2" xfId="14310" xr:uid="{00000000-0005-0000-0000-0000FB370000}"/>
    <cellStyle name="Percent 57 2 4 3" xfId="14311" xr:uid="{00000000-0005-0000-0000-0000FC370000}"/>
    <cellStyle name="Percent 57 2 5" xfId="14312" xr:uid="{00000000-0005-0000-0000-0000FD370000}"/>
    <cellStyle name="Percent 57 2 5 2" xfId="14313" xr:uid="{00000000-0005-0000-0000-0000FE370000}"/>
    <cellStyle name="Percent 57 2 6" xfId="14314" xr:uid="{00000000-0005-0000-0000-0000FF370000}"/>
    <cellStyle name="Percent 57 2 6 2" xfId="14315" xr:uid="{00000000-0005-0000-0000-000000380000}"/>
    <cellStyle name="Percent 57 2 7" xfId="14316" xr:uid="{00000000-0005-0000-0000-000001380000}"/>
    <cellStyle name="Percent 57 3" xfId="14317" xr:uid="{00000000-0005-0000-0000-000002380000}"/>
    <cellStyle name="Percent 57 3 2" xfId="14318" xr:uid="{00000000-0005-0000-0000-000003380000}"/>
    <cellStyle name="Percent 57 3 2 2" xfId="14319" xr:uid="{00000000-0005-0000-0000-000004380000}"/>
    <cellStyle name="Percent 57 3 2 2 2" xfId="14320" xr:uid="{00000000-0005-0000-0000-000005380000}"/>
    <cellStyle name="Percent 57 3 2 3" xfId="14321" xr:uid="{00000000-0005-0000-0000-000006380000}"/>
    <cellStyle name="Percent 57 3 2 3 2" xfId="14322" xr:uid="{00000000-0005-0000-0000-000007380000}"/>
    <cellStyle name="Percent 57 3 2 4" xfId="14323" xr:uid="{00000000-0005-0000-0000-000008380000}"/>
    <cellStyle name="Percent 57 3 3" xfId="14324" xr:uid="{00000000-0005-0000-0000-000009380000}"/>
    <cellStyle name="Percent 57 3 3 2" xfId="14325" xr:uid="{00000000-0005-0000-0000-00000A380000}"/>
    <cellStyle name="Percent 57 3 3 2 2" xfId="14326" xr:uid="{00000000-0005-0000-0000-00000B380000}"/>
    <cellStyle name="Percent 57 3 3 3" xfId="14327" xr:uid="{00000000-0005-0000-0000-00000C380000}"/>
    <cellStyle name="Percent 57 3 4" xfId="14328" xr:uid="{00000000-0005-0000-0000-00000D380000}"/>
    <cellStyle name="Percent 57 3 4 2" xfId="14329" xr:uid="{00000000-0005-0000-0000-00000E380000}"/>
    <cellStyle name="Percent 57 3 5" xfId="14330" xr:uid="{00000000-0005-0000-0000-00000F380000}"/>
    <cellStyle name="Percent 57 3 5 2" xfId="14331" xr:uid="{00000000-0005-0000-0000-000010380000}"/>
    <cellStyle name="Percent 57 3 6" xfId="14332" xr:uid="{00000000-0005-0000-0000-000011380000}"/>
    <cellStyle name="Percent 57 4" xfId="14333" xr:uid="{00000000-0005-0000-0000-000012380000}"/>
    <cellStyle name="Percent 57 4 2" xfId="14334" xr:uid="{00000000-0005-0000-0000-000013380000}"/>
    <cellStyle name="Percent 57 4 2 2" xfId="14335" xr:uid="{00000000-0005-0000-0000-000014380000}"/>
    <cellStyle name="Percent 57 4 3" xfId="14336" xr:uid="{00000000-0005-0000-0000-000015380000}"/>
    <cellStyle name="Percent 57 4 3 2" xfId="14337" xr:uid="{00000000-0005-0000-0000-000016380000}"/>
    <cellStyle name="Percent 57 4 4" xfId="14338" xr:uid="{00000000-0005-0000-0000-000017380000}"/>
    <cellStyle name="Percent 57 5" xfId="14339" xr:uid="{00000000-0005-0000-0000-000018380000}"/>
    <cellStyle name="Percent 57 5 2" xfId="14340" xr:uid="{00000000-0005-0000-0000-000019380000}"/>
    <cellStyle name="Percent 57 5 2 2" xfId="14341" xr:uid="{00000000-0005-0000-0000-00001A380000}"/>
    <cellStyle name="Percent 57 5 3" xfId="14342" xr:uid="{00000000-0005-0000-0000-00001B380000}"/>
    <cellStyle name="Percent 57 6" xfId="14343" xr:uid="{00000000-0005-0000-0000-00001C380000}"/>
    <cellStyle name="Percent 57 6 2" xfId="14344" xr:uid="{00000000-0005-0000-0000-00001D380000}"/>
    <cellStyle name="Percent 57 7" xfId="14345" xr:uid="{00000000-0005-0000-0000-00001E380000}"/>
    <cellStyle name="Percent 57 7 2" xfId="14346" xr:uid="{00000000-0005-0000-0000-00001F380000}"/>
    <cellStyle name="Percent 57 8" xfId="14347" xr:uid="{00000000-0005-0000-0000-000020380000}"/>
    <cellStyle name="Percent 58" xfId="14348" xr:uid="{00000000-0005-0000-0000-000021380000}"/>
    <cellStyle name="Percent 58 2" xfId="14349" xr:uid="{00000000-0005-0000-0000-000022380000}"/>
    <cellStyle name="Percent 58 2 2" xfId="14350" xr:uid="{00000000-0005-0000-0000-000023380000}"/>
    <cellStyle name="Percent 58 2 2 2" xfId="14351" xr:uid="{00000000-0005-0000-0000-000024380000}"/>
    <cellStyle name="Percent 58 2 2 2 2" xfId="14352" xr:uid="{00000000-0005-0000-0000-000025380000}"/>
    <cellStyle name="Percent 58 2 2 2 2 2" xfId="14353" xr:uid="{00000000-0005-0000-0000-000026380000}"/>
    <cellStyle name="Percent 58 2 2 2 3" xfId="14354" xr:uid="{00000000-0005-0000-0000-000027380000}"/>
    <cellStyle name="Percent 58 2 2 2 3 2" xfId="14355" xr:uid="{00000000-0005-0000-0000-000028380000}"/>
    <cellStyle name="Percent 58 2 2 2 4" xfId="14356" xr:uid="{00000000-0005-0000-0000-000029380000}"/>
    <cellStyle name="Percent 58 2 2 3" xfId="14357" xr:uid="{00000000-0005-0000-0000-00002A380000}"/>
    <cellStyle name="Percent 58 2 2 3 2" xfId="14358" xr:uid="{00000000-0005-0000-0000-00002B380000}"/>
    <cellStyle name="Percent 58 2 2 3 2 2" xfId="14359" xr:uid="{00000000-0005-0000-0000-00002C380000}"/>
    <cellStyle name="Percent 58 2 2 3 3" xfId="14360" xr:uid="{00000000-0005-0000-0000-00002D380000}"/>
    <cellStyle name="Percent 58 2 2 4" xfId="14361" xr:uid="{00000000-0005-0000-0000-00002E380000}"/>
    <cellStyle name="Percent 58 2 2 4 2" xfId="14362" xr:uid="{00000000-0005-0000-0000-00002F380000}"/>
    <cellStyle name="Percent 58 2 2 5" xfId="14363" xr:uid="{00000000-0005-0000-0000-000030380000}"/>
    <cellStyle name="Percent 58 2 2 5 2" xfId="14364" xr:uid="{00000000-0005-0000-0000-000031380000}"/>
    <cellStyle name="Percent 58 2 2 6" xfId="14365" xr:uid="{00000000-0005-0000-0000-000032380000}"/>
    <cellStyle name="Percent 58 2 3" xfId="14366" xr:uid="{00000000-0005-0000-0000-000033380000}"/>
    <cellStyle name="Percent 58 2 3 2" xfId="14367" xr:uid="{00000000-0005-0000-0000-000034380000}"/>
    <cellStyle name="Percent 58 2 3 2 2" xfId="14368" xr:uid="{00000000-0005-0000-0000-000035380000}"/>
    <cellStyle name="Percent 58 2 3 3" xfId="14369" xr:uid="{00000000-0005-0000-0000-000036380000}"/>
    <cellStyle name="Percent 58 2 3 3 2" xfId="14370" xr:uid="{00000000-0005-0000-0000-000037380000}"/>
    <cellStyle name="Percent 58 2 3 4" xfId="14371" xr:uid="{00000000-0005-0000-0000-000038380000}"/>
    <cellStyle name="Percent 58 2 4" xfId="14372" xr:uid="{00000000-0005-0000-0000-000039380000}"/>
    <cellStyle name="Percent 58 2 4 2" xfId="14373" xr:uid="{00000000-0005-0000-0000-00003A380000}"/>
    <cellStyle name="Percent 58 2 4 2 2" xfId="14374" xr:uid="{00000000-0005-0000-0000-00003B380000}"/>
    <cellStyle name="Percent 58 2 4 3" xfId="14375" xr:uid="{00000000-0005-0000-0000-00003C380000}"/>
    <cellStyle name="Percent 58 2 5" xfId="14376" xr:uid="{00000000-0005-0000-0000-00003D380000}"/>
    <cellStyle name="Percent 58 2 5 2" xfId="14377" xr:uid="{00000000-0005-0000-0000-00003E380000}"/>
    <cellStyle name="Percent 58 2 6" xfId="14378" xr:uid="{00000000-0005-0000-0000-00003F380000}"/>
    <cellStyle name="Percent 58 2 6 2" xfId="14379" xr:uid="{00000000-0005-0000-0000-000040380000}"/>
    <cellStyle name="Percent 58 2 7" xfId="14380" xr:uid="{00000000-0005-0000-0000-000041380000}"/>
    <cellStyle name="Percent 58 3" xfId="14381" xr:uid="{00000000-0005-0000-0000-000042380000}"/>
    <cellStyle name="Percent 58 3 2" xfId="14382" xr:uid="{00000000-0005-0000-0000-000043380000}"/>
    <cellStyle name="Percent 58 3 2 2" xfId="14383" xr:uid="{00000000-0005-0000-0000-000044380000}"/>
    <cellStyle name="Percent 58 3 2 2 2" xfId="14384" xr:uid="{00000000-0005-0000-0000-000045380000}"/>
    <cellStyle name="Percent 58 3 2 3" xfId="14385" xr:uid="{00000000-0005-0000-0000-000046380000}"/>
    <cellStyle name="Percent 58 3 2 3 2" xfId="14386" xr:uid="{00000000-0005-0000-0000-000047380000}"/>
    <cellStyle name="Percent 58 3 2 4" xfId="14387" xr:uid="{00000000-0005-0000-0000-000048380000}"/>
    <cellStyle name="Percent 58 3 3" xfId="14388" xr:uid="{00000000-0005-0000-0000-000049380000}"/>
    <cellStyle name="Percent 58 3 3 2" xfId="14389" xr:uid="{00000000-0005-0000-0000-00004A380000}"/>
    <cellStyle name="Percent 58 3 3 2 2" xfId="14390" xr:uid="{00000000-0005-0000-0000-00004B380000}"/>
    <cellStyle name="Percent 58 3 3 3" xfId="14391" xr:uid="{00000000-0005-0000-0000-00004C380000}"/>
    <cellStyle name="Percent 58 3 4" xfId="14392" xr:uid="{00000000-0005-0000-0000-00004D380000}"/>
    <cellStyle name="Percent 58 3 4 2" xfId="14393" xr:uid="{00000000-0005-0000-0000-00004E380000}"/>
    <cellStyle name="Percent 58 3 5" xfId="14394" xr:uid="{00000000-0005-0000-0000-00004F380000}"/>
    <cellStyle name="Percent 58 3 5 2" xfId="14395" xr:uid="{00000000-0005-0000-0000-000050380000}"/>
    <cellStyle name="Percent 58 3 6" xfId="14396" xr:uid="{00000000-0005-0000-0000-000051380000}"/>
    <cellStyle name="Percent 58 4" xfId="14397" xr:uid="{00000000-0005-0000-0000-000052380000}"/>
    <cellStyle name="Percent 58 4 2" xfId="14398" xr:uid="{00000000-0005-0000-0000-000053380000}"/>
    <cellStyle name="Percent 58 4 2 2" xfId="14399" xr:uid="{00000000-0005-0000-0000-000054380000}"/>
    <cellStyle name="Percent 58 4 3" xfId="14400" xr:uid="{00000000-0005-0000-0000-000055380000}"/>
    <cellStyle name="Percent 58 4 3 2" xfId="14401" xr:uid="{00000000-0005-0000-0000-000056380000}"/>
    <cellStyle name="Percent 58 4 4" xfId="14402" xr:uid="{00000000-0005-0000-0000-000057380000}"/>
    <cellStyle name="Percent 58 5" xfId="14403" xr:uid="{00000000-0005-0000-0000-000058380000}"/>
    <cellStyle name="Percent 58 5 2" xfId="14404" xr:uid="{00000000-0005-0000-0000-000059380000}"/>
    <cellStyle name="Percent 58 5 2 2" xfId="14405" xr:uid="{00000000-0005-0000-0000-00005A380000}"/>
    <cellStyle name="Percent 58 5 3" xfId="14406" xr:uid="{00000000-0005-0000-0000-00005B380000}"/>
    <cellStyle name="Percent 58 6" xfId="14407" xr:uid="{00000000-0005-0000-0000-00005C380000}"/>
    <cellStyle name="Percent 58 6 2" xfId="14408" xr:uid="{00000000-0005-0000-0000-00005D380000}"/>
    <cellStyle name="Percent 58 7" xfId="14409" xr:uid="{00000000-0005-0000-0000-00005E380000}"/>
    <cellStyle name="Percent 58 7 2" xfId="14410" xr:uid="{00000000-0005-0000-0000-00005F380000}"/>
    <cellStyle name="Percent 58 8" xfId="14411" xr:uid="{00000000-0005-0000-0000-000060380000}"/>
    <cellStyle name="Percent 59" xfId="14412" xr:uid="{00000000-0005-0000-0000-000061380000}"/>
    <cellStyle name="Percent 59 2" xfId="14413" xr:uid="{00000000-0005-0000-0000-000062380000}"/>
    <cellStyle name="Percent 59 2 2" xfId="14414" xr:uid="{00000000-0005-0000-0000-000063380000}"/>
    <cellStyle name="Percent 59 2 2 2" xfId="14415" xr:uid="{00000000-0005-0000-0000-000064380000}"/>
    <cellStyle name="Percent 59 2 2 2 2" xfId="14416" xr:uid="{00000000-0005-0000-0000-000065380000}"/>
    <cellStyle name="Percent 59 2 2 2 2 2" xfId="14417" xr:uid="{00000000-0005-0000-0000-000066380000}"/>
    <cellStyle name="Percent 59 2 2 2 3" xfId="14418" xr:uid="{00000000-0005-0000-0000-000067380000}"/>
    <cellStyle name="Percent 59 2 2 2 3 2" xfId="14419" xr:uid="{00000000-0005-0000-0000-000068380000}"/>
    <cellStyle name="Percent 59 2 2 2 4" xfId="14420" xr:uid="{00000000-0005-0000-0000-000069380000}"/>
    <cellStyle name="Percent 59 2 2 3" xfId="14421" xr:uid="{00000000-0005-0000-0000-00006A380000}"/>
    <cellStyle name="Percent 59 2 2 3 2" xfId="14422" xr:uid="{00000000-0005-0000-0000-00006B380000}"/>
    <cellStyle name="Percent 59 2 2 3 2 2" xfId="14423" xr:uid="{00000000-0005-0000-0000-00006C380000}"/>
    <cellStyle name="Percent 59 2 2 3 3" xfId="14424" xr:uid="{00000000-0005-0000-0000-00006D380000}"/>
    <cellStyle name="Percent 59 2 2 4" xfId="14425" xr:uid="{00000000-0005-0000-0000-00006E380000}"/>
    <cellStyle name="Percent 59 2 2 4 2" xfId="14426" xr:uid="{00000000-0005-0000-0000-00006F380000}"/>
    <cellStyle name="Percent 59 2 2 5" xfId="14427" xr:uid="{00000000-0005-0000-0000-000070380000}"/>
    <cellStyle name="Percent 59 2 2 5 2" xfId="14428" xr:uid="{00000000-0005-0000-0000-000071380000}"/>
    <cellStyle name="Percent 59 2 2 6" xfId="14429" xr:uid="{00000000-0005-0000-0000-000072380000}"/>
    <cellStyle name="Percent 59 2 3" xfId="14430" xr:uid="{00000000-0005-0000-0000-000073380000}"/>
    <cellStyle name="Percent 59 2 3 2" xfId="14431" xr:uid="{00000000-0005-0000-0000-000074380000}"/>
    <cellStyle name="Percent 59 2 3 2 2" xfId="14432" xr:uid="{00000000-0005-0000-0000-000075380000}"/>
    <cellStyle name="Percent 59 2 3 3" xfId="14433" xr:uid="{00000000-0005-0000-0000-000076380000}"/>
    <cellStyle name="Percent 59 2 3 3 2" xfId="14434" xr:uid="{00000000-0005-0000-0000-000077380000}"/>
    <cellStyle name="Percent 59 2 3 4" xfId="14435" xr:uid="{00000000-0005-0000-0000-000078380000}"/>
    <cellStyle name="Percent 59 2 4" xfId="14436" xr:uid="{00000000-0005-0000-0000-000079380000}"/>
    <cellStyle name="Percent 59 2 4 2" xfId="14437" xr:uid="{00000000-0005-0000-0000-00007A380000}"/>
    <cellStyle name="Percent 59 2 4 2 2" xfId="14438" xr:uid="{00000000-0005-0000-0000-00007B380000}"/>
    <cellStyle name="Percent 59 2 4 3" xfId="14439" xr:uid="{00000000-0005-0000-0000-00007C380000}"/>
    <cellStyle name="Percent 59 2 5" xfId="14440" xr:uid="{00000000-0005-0000-0000-00007D380000}"/>
    <cellStyle name="Percent 59 2 5 2" xfId="14441" xr:uid="{00000000-0005-0000-0000-00007E380000}"/>
    <cellStyle name="Percent 59 2 6" xfId="14442" xr:uid="{00000000-0005-0000-0000-00007F380000}"/>
    <cellStyle name="Percent 59 2 6 2" xfId="14443" xr:uid="{00000000-0005-0000-0000-000080380000}"/>
    <cellStyle name="Percent 59 2 7" xfId="14444" xr:uid="{00000000-0005-0000-0000-000081380000}"/>
    <cellStyle name="Percent 59 3" xfId="14445" xr:uid="{00000000-0005-0000-0000-000082380000}"/>
    <cellStyle name="Percent 59 3 2" xfId="14446" xr:uid="{00000000-0005-0000-0000-000083380000}"/>
    <cellStyle name="Percent 59 3 2 2" xfId="14447" xr:uid="{00000000-0005-0000-0000-000084380000}"/>
    <cellStyle name="Percent 59 3 2 2 2" xfId="14448" xr:uid="{00000000-0005-0000-0000-000085380000}"/>
    <cellStyle name="Percent 59 3 2 3" xfId="14449" xr:uid="{00000000-0005-0000-0000-000086380000}"/>
    <cellStyle name="Percent 59 3 2 3 2" xfId="14450" xr:uid="{00000000-0005-0000-0000-000087380000}"/>
    <cellStyle name="Percent 59 3 2 4" xfId="14451" xr:uid="{00000000-0005-0000-0000-000088380000}"/>
    <cellStyle name="Percent 59 3 3" xfId="14452" xr:uid="{00000000-0005-0000-0000-000089380000}"/>
    <cellStyle name="Percent 59 3 3 2" xfId="14453" xr:uid="{00000000-0005-0000-0000-00008A380000}"/>
    <cellStyle name="Percent 59 3 3 2 2" xfId="14454" xr:uid="{00000000-0005-0000-0000-00008B380000}"/>
    <cellStyle name="Percent 59 3 3 3" xfId="14455" xr:uid="{00000000-0005-0000-0000-00008C380000}"/>
    <cellStyle name="Percent 59 3 4" xfId="14456" xr:uid="{00000000-0005-0000-0000-00008D380000}"/>
    <cellStyle name="Percent 59 3 4 2" xfId="14457" xr:uid="{00000000-0005-0000-0000-00008E380000}"/>
    <cellStyle name="Percent 59 3 5" xfId="14458" xr:uid="{00000000-0005-0000-0000-00008F380000}"/>
    <cellStyle name="Percent 59 3 5 2" xfId="14459" xr:uid="{00000000-0005-0000-0000-000090380000}"/>
    <cellStyle name="Percent 59 3 6" xfId="14460" xr:uid="{00000000-0005-0000-0000-000091380000}"/>
    <cellStyle name="Percent 59 4" xfId="14461" xr:uid="{00000000-0005-0000-0000-000092380000}"/>
    <cellStyle name="Percent 59 4 2" xfId="14462" xr:uid="{00000000-0005-0000-0000-000093380000}"/>
    <cellStyle name="Percent 59 4 2 2" xfId="14463" xr:uid="{00000000-0005-0000-0000-000094380000}"/>
    <cellStyle name="Percent 59 4 3" xfId="14464" xr:uid="{00000000-0005-0000-0000-000095380000}"/>
    <cellStyle name="Percent 59 4 3 2" xfId="14465" xr:uid="{00000000-0005-0000-0000-000096380000}"/>
    <cellStyle name="Percent 59 4 4" xfId="14466" xr:uid="{00000000-0005-0000-0000-000097380000}"/>
    <cellStyle name="Percent 59 5" xfId="14467" xr:uid="{00000000-0005-0000-0000-000098380000}"/>
    <cellStyle name="Percent 59 5 2" xfId="14468" xr:uid="{00000000-0005-0000-0000-000099380000}"/>
    <cellStyle name="Percent 59 5 2 2" xfId="14469" xr:uid="{00000000-0005-0000-0000-00009A380000}"/>
    <cellStyle name="Percent 59 5 3" xfId="14470" xr:uid="{00000000-0005-0000-0000-00009B380000}"/>
    <cellStyle name="Percent 59 6" xfId="14471" xr:uid="{00000000-0005-0000-0000-00009C380000}"/>
    <cellStyle name="Percent 59 6 2" xfId="14472" xr:uid="{00000000-0005-0000-0000-00009D380000}"/>
    <cellStyle name="Percent 59 7" xfId="14473" xr:uid="{00000000-0005-0000-0000-00009E380000}"/>
    <cellStyle name="Percent 59 7 2" xfId="14474" xr:uid="{00000000-0005-0000-0000-00009F380000}"/>
    <cellStyle name="Percent 59 8" xfId="14475" xr:uid="{00000000-0005-0000-0000-0000A0380000}"/>
    <cellStyle name="Percent 6" xfId="245" xr:uid="{00000000-0005-0000-0000-0000A1380000}"/>
    <cellStyle name="Percent 6 2" xfId="14476" xr:uid="{00000000-0005-0000-0000-0000A2380000}"/>
    <cellStyle name="Percent 6 2 2" xfId="14477" xr:uid="{00000000-0005-0000-0000-0000A3380000}"/>
    <cellStyle name="Percent 6 2 2 2" xfId="14478" xr:uid="{00000000-0005-0000-0000-0000A4380000}"/>
    <cellStyle name="Percent 6 3" xfId="14479" xr:uid="{00000000-0005-0000-0000-0000A5380000}"/>
    <cellStyle name="Percent 6 3 2" xfId="14480" xr:uid="{00000000-0005-0000-0000-0000A6380000}"/>
    <cellStyle name="Percent 6 3 2 2" xfId="14481" xr:uid="{00000000-0005-0000-0000-0000A7380000}"/>
    <cellStyle name="Percent 6 3 3" xfId="14482" xr:uid="{00000000-0005-0000-0000-0000A8380000}"/>
    <cellStyle name="Percent 6 4" xfId="14483" xr:uid="{00000000-0005-0000-0000-0000A9380000}"/>
    <cellStyle name="Percent 6 4 2" xfId="14484" xr:uid="{00000000-0005-0000-0000-0000AA380000}"/>
    <cellStyle name="Percent 6 5" xfId="14485" xr:uid="{00000000-0005-0000-0000-0000AB380000}"/>
    <cellStyle name="Percent 60" xfId="14486" xr:uid="{00000000-0005-0000-0000-0000AC380000}"/>
    <cellStyle name="Percent 60 2" xfId="14487" xr:uid="{00000000-0005-0000-0000-0000AD380000}"/>
    <cellStyle name="Percent 60 2 2" xfId="14488" xr:uid="{00000000-0005-0000-0000-0000AE380000}"/>
    <cellStyle name="Percent 60 2 2 2" xfId="14489" xr:uid="{00000000-0005-0000-0000-0000AF380000}"/>
    <cellStyle name="Percent 60 2 2 2 2" xfId="14490" xr:uid="{00000000-0005-0000-0000-0000B0380000}"/>
    <cellStyle name="Percent 60 2 2 2 2 2" xfId="14491" xr:uid="{00000000-0005-0000-0000-0000B1380000}"/>
    <cellStyle name="Percent 60 2 2 2 3" xfId="14492" xr:uid="{00000000-0005-0000-0000-0000B2380000}"/>
    <cellStyle name="Percent 60 2 2 2 3 2" xfId="14493" xr:uid="{00000000-0005-0000-0000-0000B3380000}"/>
    <cellStyle name="Percent 60 2 2 2 4" xfId="14494" xr:uid="{00000000-0005-0000-0000-0000B4380000}"/>
    <cellStyle name="Percent 60 2 2 3" xfId="14495" xr:uid="{00000000-0005-0000-0000-0000B5380000}"/>
    <cellStyle name="Percent 60 2 2 3 2" xfId="14496" xr:uid="{00000000-0005-0000-0000-0000B6380000}"/>
    <cellStyle name="Percent 60 2 2 3 2 2" xfId="14497" xr:uid="{00000000-0005-0000-0000-0000B7380000}"/>
    <cellStyle name="Percent 60 2 2 3 3" xfId="14498" xr:uid="{00000000-0005-0000-0000-0000B8380000}"/>
    <cellStyle name="Percent 60 2 2 4" xfId="14499" xr:uid="{00000000-0005-0000-0000-0000B9380000}"/>
    <cellStyle name="Percent 60 2 2 4 2" xfId="14500" xr:uid="{00000000-0005-0000-0000-0000BA380000}"/>
    <cellStyle name="Percent 60 2 2 5" xfId="14501" xr:uid="{00000000-0005-0000-0000-0000BB380000}"/>
    <cellStyle name="Percent 60 2 2 5 2" xfId="14502" xr:uid="{00000000-0005-0000-0000-0000BC380000}"/>
    <cellStyle name="Percent 60 2 2 6" xfId="14503" xr:uid="{00000000-0005-0000-0000-0000BD380000}"/>
    <cellStyle name="Percent 60 2 3" xfId="14504" xr:uid="{00000000-0005-0000-0000-0000BE380000}"/>
    <cellStyle name="Percent 60 2 3 2" xfId="14505" xr:uid="{00000000-0005-0000-0000-0000BF380000}"/>
    <cellStyle name="Percent 60 2 3 2 2" xfId="14506" xr:uid="{00000000-0005-0000-0000-0000C0380000}"/>
    <cellStyle name="Percent 60 2 3 3" xfId="14507" xr:uid="{00000000-0005-0000-0000-0000C1380000}"/>
    <cellStyle name="Percent 60 2 3 3 2" xfId="14508" xr:uid="{00000000-0005-0000-0000-0000C2380000}"/>
    <cellStyle name="Percent 60 2 3 4" xfId="14509" xr:uid="{00000000-0005-0000-0000-0000C3380000}"/>
    <cellStyle name="Percent 60 2 4" xfId="14510" xr:uid="{00000000-0005-0000-0000-0000C4380000}"/>
    <cellStyle name="Percent 60 2 4 2" xfId="14511" xr:uid="{00000000-0005-0000-0000-0000C5380000}"/>
    <cellStyle name="Percent 60 2 4 2 2" xfId="14512" xr:uid="{00000000-0005-0000-0000-0000C6380000}"/>
    <cellStyle name="Percent 60 2 4 3" xfId="14513" xr:uid="{00000000-0005-0000-0000-0000C7380000}"/>
    <cellStyle name="Percent 60 2 5" xfId="14514" xr:uid="{00000000-0005-0000-0000-0000C8380000}"/>
    <cellStyle name="Percent 60 2 5 2" xfId="14515" xr:uid="{00000000-0005-0000-0000-0000C9380000}"/>
    <cellStyle name="Percent 60 2 6" xfId="14516" xr:uid="{00000000-0005-0000-0000-0000CA380000}"/>
    <cellStyle name="Percent 60 2 6 2" xfId="14517" xr:uid="{00000000-0005-0000-0000-0000CB380000}"/>
    <cellStyle name="Percent 60 2 7" xfId="14518" xr:uid="{00000000-0005-0000-0000-0000CC380000}"/>
    <cellStyle name="Percent 60 3" xfId="14519" xr:uid="{00000000-0005-0000-0000-0000CD380000}"/>
    <cellStyle name="Percent 60 3 2" xfId="14520" xr:uid="{00000000-0005-0000-0000-0000CE380000}"/>
    <cellStyle name="Percent 60 3 2 2" xfId="14521" xr:uid="{00000000-0005-0000-0000-0000CF380000}"/>
    <cellStyle name="Percent 60 3 2 2 2" xfId="14522" xr:uid="{00000000-0005-0000-0000-0000D0380000}"/>
    <cellStyle name="Percent 60 3 2 3" xfId="14523" xr:uid="{00000000-0005-0000-0000-0000D1380000}"/>
    <cellStyle name="Percent 60 3 2 3 2" xfId="14524" xr:uid="{00000000-0005-0000-0000-0000D2380000}"/>
    <cellStyle name="Percent 60 3 2 4" xfId="14525" xr:uid="{00000000-0005-0000-0000-0000D3380000}"/>
    <cellStyle name="Percent 60 3 3" xfId="14526" xr:uid="{00000000-0005-0000-0000-0000D4380000}"/>
    <cellStyle name="Percent 60 3 3 2" xfId="14527" xr:uid="{00000000-0005-0000-0000-0000D5380000}"/>
    <cellStyle name="Percent 60 3 3 2 2" xfId="14528" xr:uid="{00000000-0005-0000-0000-0000D6380000}"/>
    <cellStyle name="Percent 60 3 3 3" xfId="14529" xr:uid="{00000000-0005-0000-0000-0000D7380000}"/>
    <cellStyle name="Percent 60 3 4" xfId="14530" xr:uid="{00000000-0005-0000-0000-0000D8380000}"/>
    <cellStyle name="Percent 60 3 4 2" xfId="14531" xr:uid="{00000000-0005-0000-0000-0000D9380000}"/>
    <cellStyle name="Percent 60 3 5" xfId="14532" xr:uid="{00000000-0005-0000-0000-0000DA380000}"/>
    <cellStyle name="Percent 60 3 5 2" xfId="14533" xr:uid="{00000000-0005-0000-0000-0000DB380000}"/>
    <cellStyle name="Percent 60 3 6" xfId="14534" xr:uid="{00000000-0005-0000-0000-0000DC380000}"/>
    <cellStyle name="Percent 60 4" xfId="14535" xr:uid="{00000000-0005-0000-0000-0000DD380000}"/>
    <cellStyle name="Percent 60 4 2" xfId="14536" xr:uid="{00000000-0005-0000-0000-0000DE380000}"/>
    <cellStyle name="Percent 60 4 2 2" xfId="14537" xr:uid="{00000000-0005-0000-0000-0000DF380000}"/>
    <cellStyle name="Percent 60 4 3" xfId="14538" xr:uid="{00000000-0005-0000-0000-0000E0380000}"/>
    <cellStyle name="Percent 60 4 3 2" xfId="14539" xr:uid="{00000000-0005-0000-0000-0000E1380000}"/>
    <cellStyle name="Percent 60 4 4" xfId="14540" xr:uid="{00000000-0005-0000-0000-0000E2380000}"/>
    <cellStyle name="Percent 60 5" xfId="14541" xr:uid="{00000000-0005-0000-0000-0000E3380000}"/>
    <cellStyle name="Percent 60 5 2" xfId="14542" xr:uid="{00000000-0005-0000-0000-0000E4380000}"/>
    <cellStyle name="Percent 60 5 2 2" xfId="14543" xr:uid="{00000000-0005-0000-0000-0000E5380000}"/>
    <cellStyle name="Percent 60 5 3" xfId="14544" xr:uid="{00000000-0005-0000-0000-0000E6380000}"/>
    <cellStyle name="Percent 60 6" xfId="14545" xr:uid="{00000000-0005-0000-0000-0000E7380000}"/>
    <cellStyle name="Percent 60 6 2" xfId="14546" xr:uid="{00000000-0005-0000-0000-0000E8380000}"/>
    <cellStyle name="Percent 60 7" xfId="14547" xr:uid="{00000000-0005-0000-0000-0000E9380000}"/>
    <cellStyle name="Percent 60 7 2" xfId="14548" xr:uid="{00000000-0005-0000-0000-0000EA380000}"/>
    <cellStyle name="Percent 60 8" xfId="14549" xr:uid="{00000000-0005-0000-0000-0000EB380000}"/>
    <cellStyle name="Percent 61" xfId="14550" xr:uid="{00000000-0005-0000-0000-0000EC380000}"/>
    <cellStyle name="Percent 61 2" xfId="14551" xr:uid="{00000000-0005-0000-0000-0000ED380000}"/>
    <cellStyle name="Percent 61 2 2" xfId="14552" xr:uid="{00000000-0005-0000-0000-0000EE380000}"/>
    <cellStyle name="Percent 61 2 2 2" xfId="14553" xr:uid="{00000000-0005-0000-0000-0000EF380000}"/>
    <cellStyle name="Percent 61 2 2 2 2" xfId="14554" xr:uid="{00000000-0005-0000-0000-0000F0380000}"/>
    <cellStyle name="Percent 61 2 2 2 2 2" xfId="14555" xr:uid="{00000000-0005-0000-0000-0000F1380000}"/>
    <cellStyle name="Percent 61 2 2 2 3" xfId="14556" xr:uid="{00000000-0005-0000-0000-0000F2380000}"/>
    <cellStyle name="Percent 61 2 2 2 3 2" xfId="14557" xr:uid="{00000000-0005-0000-0000-0000F3380000}"/>
    <cellStyle name="Percent 61 2 2 2 4" xfId="14558" xr:uid="{00000000-0005-0000-0000-0000F4380000}"/>
    <cellStyle name="Percent 61 2 2 3" xfId="14559" xr:uid="{00000000-0005-0000-0000-0000F5380000}"/>
    <cellStyle name="Percent 61 2 2 3 2" xfId="14560" xr:uid="{00000000-0005-0000-0000-0000F6380000}"/>
    <cellStyle name="Percent 61 2 2 3 2 2" xfId="14561" xr:uid="{00000000-0005-0000-0000-0000F7380000}"/>
    <cellStyle name="Percent 61 2 2 3 3" xfId="14562" xr:uid="{00000000-0005-0000-0000-0000F8380000}"/>
    <cellStyle name="Percent 61 2 2 4" xfId="14563" xr:uid="{00000000-0005-0000-0000-0000F9380000}"/>
    <cellStyle name="Percent 61 2 2 4 2" xfId="14564" xr:uid="{00000000-0005-0000-0000-0000FA380000}"/>
    <cellStyle name="Percent 61 2 2 5" xfId="14565" xr:uid="{00000000-0005-0000-0000-0000FB380000}"/>
    <cellStyle name="Percent 61 2 2 5 2" xfId="14566" xr:uid="{00000000-0005-0000-0000-0000FC380000}"/>
    <cellStyle name="Percent 61 2 2 6" xfId="14567" xr:uid="{00000000-0005-0000-0000-0000FD380000}"/>
    <cellStyle name="Percent 61 2 3" xfId="14568" xr:uid="{00000000-0005-0000-0000-0000FE380000}"/>
    <cellStyle name="Percent 61 2 3 2" xfId="14569" xr:uid="{00000000-0005-0000-0000-0000FF380000}"/>
    <cellStyle name="Percent 61 2 3 2 2" xfId="14570" xr:uid="{00000000-0005-0000-0000-000000390000}"/>
    <cellStyle name="Percent 61 2 3 3" xfId="14571" xr:uid="{00000000-0005-0000-0000-000001390000}"/>
    <cellStyle name="Percent 61 2 3 3 2" xfId="14572" xr:uid="{00000000-0005-0000-0000-000002390000}"/>
    <cellStyle name="Percent 61 2 3 4" xfId="14573" xr:uid="{00000000-0005-0000-0000-000003390000}"/>
    <cellStyle name="Percent 61 2 4" xfId="14574" xr:uid="{00000000-0005-0000-0000-000004390000}"/>
    <cellStyle name="Percent 61 2 4 2" xfId="14575" xr:uid="{00000000-0005-0000-0000-000005390000}"/>
    <cellStyle name="Percent 61 2 4 2 2" xfId="14576" xr:uid="{00000000-0005-0000-0000-000006390000}"/>
    <cellStyle name="Percent 61 2 4 3" xfId="14577" xr:uid="{00000000-0005-0000-0000-000007390000}"/>
    <cellStyle name="Percent 61 2 5" xfId="14578" xr:uid="{00000000-0005-0000-0000-000008390000}"/>
    <cellStyle name="Percent 61 2 5 2" xfId="14579" xr:uid="{00000000-0005-0000-0000-000009390000}"/>
    <cellStyle name="Percent 61 2 6" xfId="14580" xr:uid="{00000000-0005-0000-0000-00000A390000}"/>
    <cellStyle name="Percent 61 2 6 2" xfId="14581" xr:uid="{00000000-0005-0000-0000-00000B390000}"/>
    <cellStyle name="Percent 61 2 7" xfId="14582" xr:uid="{00000000-0005-0000-0000-00000C390000}"/>
    <cellStyle name="Percent 61 3" xfId="14583" xr:uid="{00000000-0005-0000-0000-00000D390000}"/>
    <cellStyle name="Percent 61 3 2" xfId="14584" xr:uid="{00000000-0005-0000-0000-00000E390000}"/>
    <cellStyle name="Percent 61 3 2 2" xfId="14585" xr:uid="{00000000-0005-0000-0000-00000F390000}"/>
    <cellStyle name="Percent 61 3 2 2 2" xfId="14586" xr:uid="{00000000-0005-0000-0000-000010390000}"/>
    <cellStyle name="Percent 61 3 2 3" xfId="14587" xr:uid="{00000000-0005-0000-0000-000011390000}"/>
    <cellStyle name="Percent 61 3 2 3 2" xfId="14588" xr:uid="{00000000-0005-0000-0000-000012390000}"/>
    <cellStyle name="Percent 61 3 2 4" xfId="14589" xr:uid="{00000000-0005-0000-0000-000013390000}"/>
    <cellStyle name="Percent 61 3 3" xfId="14590" xr:uid="{00000000-0005-0000-0000-000014390000}"/>
    <cellStyle name="Percent 61 3 3 2" xfId="14591" xr:uid="{00000000-0005-0000-0000-000015390000}"/>
    <cellStyle name="Percent 61 3 3 2 2" xfId="14592" xr:uid="{00000000-0005-0000-0000-000016390000}"/>
    <cellStyle name="Percent 61 3 3 3" xfId="14593" xr:uid="{00000000-0005-0000-0000-000017390000}"/>
    <cellStyle name="Percent 61 3 4" xfId="14594" xr:uid="{00000000-0005-0000-0000-000018390000}"/>
    <cellStyle name="Percent 61 3 4 2" xfId="14595" xr:uid="{00000000-0005-0000-0000-000019390000}"/>
    <cellStyle name="Percent 61 3 5" xfId="14596" xr:uid="{00000000-0005-0000-0000-00001A390000}"/>
    <cellStyle name="Percent 61 3 5 2" xfId="14597" xr:uid="{00000000-0005-0000-0000-00001B390000}"/>
    <cellStyle name="Percent 61 3 6" xfId="14598" xr:uid="{00000000-0005-0000-0000-00001C390000}"/>
    <cellStyle name="Percent 61 4" xfId="14599" xr:uid="{00000000-0005-0000-0000-00001D390000}"/>
    <cellStyle name="Percent 61 4 2" xfId="14600" xr:uid="{00000000-0005-0000-0000-00001E390000}"/>
    <cellStyle name="Percent 61 4 2 2" xfId="14601" xr:uid="{00000000-0005-0000-0000-00001F390000}"/>
    <cellStyle name="Percent 61 4 3" xfId="14602" xr:uid="{00000000-0005-0000-0000-000020390000}"/>
    <cellStyle name="Percent 61 4 3 2" xfId="14603" xr:uid="{00000000-0005-0000-0000-000021390000}"/>
    <cellStyle name="Percent 61 4 4" xfId="14604" xr:uid="{00000000-0005-0000-0000-000022390000}"/>
    <cellStyle name="Percent 61 5" xfId="14605" xr:uid="{00000000-0005-0000-0000-000023390000}"/>
    <cellStyle name="Percent 61 5 2" xfId="14606" xr:uid="{00000000-0005-0000-0000-000024390000}"/>
    <cellStyle name="Percent 61 5 2 2" xfId="14607" xr:uid="{00000000-0005-0000-0000-000025390000}"/>
    <cellStyle name="Percent 61 5 3" xfId="14608" xr:uid="{00000000-0005-0000-0000-000026390000}"/>
    <cellStyle name="Percent 61 6" xfId="14609" xr:uid="{00000000-0005-0000-0000-000027390000}"/>
    <cellStyle name="Percent 61 6 2" xfId="14610" xr:uid="{00000000-0005-0000-0000-000028390000}"/>
    <cellStyle name="Percent 61 7" xfId="14611" xr:uid="{00000000-0005-0000-0000-000029390000}"/>
    <cellStyle name="Percent 61 7 2" xfId="14612" xr:uid="{00000000-0005-0000-0000-00002A390000}"/>
    <cellStyle name="Percent 61 8" xfId="14613" xr:uid="{00000000-0005-0000-0000-00002B390000}"/>
    <cellStyle name="Percent 62" xfId="14614" xr:uid="{00000000-0005-0000-0000-00002C390000}"/>
    <cellStyle name="Percent 62 2" xfId="14615" xr:uid="{00000000-0005-0000-0000-00002D390000}"/>
    <cellStyle name="Percent 62 2 2" xfId="14616" xr:uid="{00000000-0005-0000-0000-00002E390000}"/>
    <cellStyle name="Percent 62 2 2 2" xfId="14617" xr:uid="{00000000-0005-0000-0000-00002F390000}"/>
    <cellStyle name="Percent 62 2 2 2 2" xfId="14618" xr:uid="{00000000-0005-0000-0000-000030390000}"/>
    <cellStyle name="Percent 62 2 2 2 2 2" xfId="14619" xr:uid="{00000000-0005-0000-0000-000031390000}"/>
    <cellStyle name="Percent 62 2 2 2 3" xfId="14620" xr:uid="{00000000-0005-0000-0000-000032390000}"/>
    <cellStyle name="Percent 62 2 2 2 3 2" xfId="14621" xr:uid="{00000000-0005-0000-0000-000033390000}"/>
    <cellStyle name="Percent 62 2 2 2 4" xfId="14622" xr:uid="{00000000-0005-0000-0000-000034390000}"/>
    <cellStyle name="Percent 62 2 2 3" xfId="14623" xr:uid="{00000000-0005-0000-0000-000035390000}"/>
    <cellStyle name="Percent 62 2 2 3 2" xfId="14624" xr:uid="{00000000-0005-0000-0000-000036390000}"/>
    <cellStyle name="Percent 62 2 2 3 2 2" xfId="14625" xr:uid="{00000000-0005-0000-0000-000037390000}"/>
    <cellStyle name="Percent 62 2 2 3 3" xfId="14626" xr:uid="{00000000-0005-0000-0000-000038390000}"/>
    <cellStyle name="Percent 62 2 2 4" xfId="14627" xr:uid="{00000000-0005-0000-0000-000039390000}"/>
    <cellStyle name="Percent 62 2 2 4 2" xfId="14628" xr:uid="{00000000-0005-0000-0000-00003A390000}"/>
    <cellStyle name="Percent 62 2 2 5" xfId="14629" xr:uid="{00000000-0005-0000-0000-00003B390000}"/>
    <cellStyle name="Percent 62 2 2 5 2" xfId="14630" xr:uid="{00000000-0005-0000-0000-00003C390000}"/>
    <cellStyle name="Percent 62 2 2 6" xfId="14631" xr:uid="{00000000-0005-0000-0000-00003D390000}"/>
    <cellStyle name="Percent 62 2 3" xfId="14632" xr:uid="{00000000-0005-0000-0000-00003E390000}"/>
    <cellStyle name="Percent 62 2 3 2" xfId="14633" xr:uid="{00000000-0005-0000-0000-00003F390000}"/>
    <cellStyle name="Percent 62 2 3 2 2" xfId="14634" xr:uid="{00000000-0005-0000-0000-000040390000}"/>
    <cellStyle name="Percent 62 2 3 3" xfId="14635" xr:uid="{00000000-0005-0000-0000-000041390000}"/>
    <cellStyle name="Percent 62 2 3 3 2" xfId="14636" xr:uid="{00000000-0005-0000-0000-000042390000}"/>
    <cellStyle name="Percent 62 2 3 4" xfId="14637" xr:uid="{00000000-0005-0000-0000-000043390000}"/>
    <cellStyle name="Percent 62 2 4" xfId="14638" xr:uid="{00000000-0005-0000-0000-000044390000}"/>
    <cellStyle name="Percent 62 2 4 2" xfId="14639" xr:uid="{00000000-0005-0000-0000-000045390000}"/>
    <cellStyle name="Percent 62 2 4 2 2" xfId="14640" xr:uid="{00000000-0005-0000-0000-000046390000}"/>
    <cellStyle name="Percent 62 2 4 3" xfId="14641" xr:uid="{00000000-0005-0000-0000-000047390000}"/>
    <cellStyle name="Percent 62 2 5" xfId="14642" xr:uid="{00000000-0005-0000-0000-000048390000}"/>
    <cellStyle name="Percent 62 2 5 2" xfId="14643" xr:uid="{00000000-0005-0000-0000-000049390000}"/>
    <cellStyle name="Percent 62 2 6" xfId="14644" xr:uid="{00000000-0005-0000-0000-00004A390000}"/>
    <cellStyle name="Percent 62 2 6 2" xfId="14645" xr:uid="{00000000-0005-0000-0000-00004B390000}"/>
    <cellStyle name="Percent 62 2 7" xfId="14646" xr:uid="{00000000-0005-0000-0000-00004C390000}"/>
    <cellStyle name="Percent 62 3" xfId="14647" xr:uid="{00000000-0005-0000-0000-00004D390000}"/>
    <cellStyle name="Percent 62 3 2" xfId="14648" xr:uid="{00000000-0005-0000-0000-00004E390000}"/>
    <cellStyle name="Percent 62 3 2 2" xfId="14649" xr:uid="{00000000-0005-0000-0000-00004F390000}"/>
    <cellStyle name="Percent 62 3 2 2 2" xfId="14650" xr:uid="{00000000-0005-0000-0000-000050390000}"/>
    <cellStyle name="Percent 62 3 2 3" xfId="14651" xr:uid="{00000000-0005-0000-0000-000051390000}"/>
    <cellStyle name="Percent 62 3 2 3 2" xfId="14652" xr:uid="{00000000-0005-0000-0000-000052390000}"/>
    <cellStyle name="Percent 62 3 2 4" xfId="14653" xr:uid="{00000000-0005-0000-0000-000053390000}"/>
    <cellStyle name="Percent 62 3 3" xfId="14654" xr:uid="{00000000-0005-0000-0000-000054390000}"/>
    <cellStyle name="Percent 62 3 3 2" xfId="14655" xr:uid="{00000000-0005-0000-0000-000055390000}"/>
    <cellStyle name="Percent 62 3 3 2 2" xfId="14656" xr:uid="{00000000-0005-0000-0000-000056390000}"/>
    <cellStyle name="Percent 62 3 3 3" xfId="14657" xr:uid="{00000000-0005-0000-0000-000057390000}"/>
    <cellStyle name="Percent 62 3 4" xfId="14658" xr:uid="{00000000-0005-0000-0000-000058390000}"/>
    <cellStyle name="Percent 62 3 4 2" xfId="14659" xr:uid="{00000000-0005-0000-0000-000059390000}"/>
    <cellStyle name="Percent 62 3 5" xfId="14660" xr:uid="{00000000-0005-0000-0000-00005A390000}"/>
    <cellStyle name="Percent 62 3 5 2" xfId="14661" xr:uid="{00000000-0005-0000-0000-00005B390000}"/>
    <cellStyle name="Percent 62 3 6" xfId="14662" xr:uid="{00000000-0005-0000-0000-00005C390000}"/>
    <cellStyle name="Percent 62 4" xfId="14663" xr:uid="{00000000-0005-0000-0000-00005D390000}"/>
    <cellStyle name="Percent 62 4 2" xfId="14664" xr:uid="{00000000-0005-0000-0000-00005E390000}"/>
    <cellStyle name="Percent 62 4 2 2" xfId="14665" xr:uid="{00000000-0005-0000-0000-00005F390000}"/>
    <cellStyle name="Percent 62 4 3" xfId="14666" xr:uid="{00000000-0005-0000-0000-000060390000}"/>
    <cellStyle name="Percent 62 4 3 2" xfId="14667" xr:uid="{00000000-0005-0000-0000-000061390000}"/>
    <cellStyle name="Percent 62 4 4" xfId="14668" xr:uid="{00000000-0005-0000-0000-000062390000}"/>
    <cellStyle name="Percent 62 5" xfId="14669" xr:uid="{00000000-0005-0000-0000-000063390000}"/>
    <cellStyle name="Percent 62 5 2" xfId="14670" xr:uid="{00000000-0005-0000-0000-000064390000}"/>
    <cellStyle name="Percent 62 5 2 2" xfId="14671" xr:uid="{00000000-0005-0000-0000-000065390000}"/>
    <cellStyle name="Percent 62 5 3" xfId="14672" xr:uid="{00000000-0005-0000-0000-000066390000}"/>
    <cellStyle name="Percent 62 6" xfId="14673" xr:uid="{00000000-0005-0000-0000-000067390000}"/>
    <cellStyle name="Percent 62 6 2" xfId="14674" xr:uid="{00000000-0005-0000-0000-000068390000}"/>
    <cellStyle name="Percent 62 7" xfId="14675" xr:uid="{00000000-0005-0000-0000-000069390000}"/>
    <cellStyle name="Percent 62 7 2" xfId="14676" xr:uid="{00000000-0005-0000-0000-00006A390000}"/>
    <cellStyle name="Percent 62 8" xfId="14677" xr:uid="{00000000-0005-0000-0000-00006B390000}"/>
    <cellStyle name="Percent 63" xfId="14678" xr:uid="{00000000-0005-0000-0000-00006C390000}"/>
    <cellStyle name="Percent 63 2" xfId="14679" xr:uid="{00000000-0005-0000-0000-00006D390000}"/>
    <cellStyle name="Percent 63 2 2" xfId="14680" xr:uid="{00000000-0005-0000-0000-00006E390000}"/>
    <cellStyle name="Percent 63 2 2 2" xfId="14681" xr:uid="{00000000-0005-0000-0000-00006F390000}"/>
    <cellStyle name="Percent 63 2 2 2 2" xfId="14682" xr:uid="{00000000-0005-0000-0000-000070390000}"/>
    <cellStyle name="Percent 63 2 2 2 2 2" xfId="14683" xr:uid="{00000000-0005-0000-0000-000071390000}"/>
    <cellStyle name="Percent 63 2 2 2 3" xfId="14684" xr:uid="{00000000-0005-0000-0000-000072390000}"/>
    <cellStyle name="Percent 63 2 2 2 3 2" xfId="14685" xr:uid="{00000000-0005-0000-0000-000073390000}"/>
    <cellStyle name="Percent 63 2 2 2 4" xfId="14686" xr:uid="{00000000-0005-0000-0000-000074390000}"/>
    <cellStyle name="Percent 63 2 2 3" xfId="14687" xr:uid="{00000000-0005-0000-0000-000075390000}"/>
    <cellStyle name="Percent 63 2 2 3 2" xfId="14688" xr:uid="{00000000-0005-0000-0000-000076390000}"/>
    <cellStyle name="Percent 63 2 2 3 2 2" xfId="14689" xr:uid="{00000000-0005-0000-0000-000077390000}"/>
    <cellStyle name="Percent 63 2 2 3 3" xfId="14690" xr:uid="{00000000-0005-0000-0000-000078390000}"/>
    <cellStyle name="Percent 63 2 2 4" xfId="14691" xr:uid="{00000000-0005-0000-0000-000079390000}"/>
    <cellStyle name="Percent 63 2 2 4 2" xfId="14692" xr:uid="{00000000-0005-0000-0000-00007A390000}"/>
    <cellStyle name="Percent 63 2 2 5" xfId="14693" xr:uid="{00000000-0005-0000-0000-00007B390000}"/>
    <cellStyle name="Percent 63 2 2 5 2" xfId="14694" xr:uid="{00000000-0005-0000-0000-00007C390000}"/>
    <cellStyle name="Percent 63 2 2 6" xfId="14695" xr:uid="{00000000-0005-0000-0000-00007D390000}"/>
    <cellStyle name="Percent 63 2 3" xfId="14696" xr:uid="{00000000-0005-0000-0000-00007E390000}"/>
    <cellStyle name="Percent 63 2 3 2" xfId="14697" xr:uid="{00000000-0005-0000-0000-00007F390000}"/>
    <cellStyle name="Percent 63 2 3 2 2" xfId="14698" xr:uid="{00000000-0005-0000-0000-000080390000}"/>
    <cellStyle name="Percent 63 2 3 3" xfId="14699" xr:uid="{00000000-0005-0000-0000-000081390000}"/>
    <cellStyle name="Percent 63 2 3 3 2" xfId="14700" xr:uid="{00000000-0005-0000-0000-000082390000}"/>
    <cellStyle name="Percent 63 2 3 4" xfId="14701" xr:uid="{00000000-0005-0000-0000-000083390000}"/>
    <cellStyle name="Percent 63 2 4" xfId="14702" xr:uid="{00000000-0005-0000-0000-000084390000}"/>
    <cellStyle name="Percent 63 2 4 2" xfId="14703" xr:uid="{00000000-0005-0000-0000-000085390000}"/>
    <cellStyle name="Percent 63 2 4 2 2" xfId="14704" xr:uid="{00000000-0005-0000-0000-000086390000}"/>
    <cellStyle name="Percent 63 2 4 3" xfId="14705" xr:uid="{00000000-0005-0000-0000-000087390000}"/>
    <cellStyle name="Percent 63 2 5" xfId="14706" xr:uid="{00000000-0005-0000-0000-000088390000}"/>
    <cellStyle name="Percent 63 2 5 2" xfId="14707" xr:uid="{00000000-0005-0000-0000-000089390000}"/>
    <cellStyle name="Percent 63 2 6" xfId="14708" xr:uid="{00000000-0005-0000-0000-00008A390000}"/>
    <cellStyle name="Percent 63 2 6 2" xfId="14709" xr:uid="{00000000-0005-0000-0000-00008B390000}"/>
    <cellStyle name="Percent 63 2 7" xfId="14710" xr:uid="{00000000-0005-0000-0000-00008C390000}"/>
    <cellStyle name="Percent 63 3" xfId="14711" xr:uid="{00000000-0005-0000-0000-00008D390000}"/>
    <cellStyle name="Percent 63 3 2" xfId="14712" xr:uid="{00000000-0005-0000-0000-00008E390000}"/>
    <cellStyle name="Percent 63 3 2 2" xfId="14713" xr:uid="{00000000-0005-0000-0000-00008F390000}"/>
    <cellStyle name="Percent 63 3 2 2 2" xfId="14714" xr:uid="{00000000-0005-0000-0000-000090390000}"/>
    <cellStyle name="Percent 63 3 2 3" xfId="14715" xr:uid="{00000000-0005-0000-0000-000091390000}"/>
    <cellStyle name="Percent 63 3 2 3 2" xfId="14716" xr:uid="{00000000-0005-0000-0000-000092390000}"/>
    <cellStyle name="Percent 63 3 2 4" xfId="14717" xr:uid="{00000000-0005-0000-0000-000093390000}"/>
    <cellStyle name="Percent 63 3 3" xfId="14718" xr:uid="{00000000-0005-0000-0000-000094390000}"/>
    <cellStyle name="Percent 63 3 3 2" xfId="14719" xr:uid="{00000000-0005-0000-0000-000095390000}"/>
    <cellStyle name="Percent 63 3 3 2 2" xfId="14720" xr:uid="{00000000-0005-0000-0000-000096390000}"/>
    <cellStyle name="Percent 63 3 3 3" xfId="14721" xr:uid="{00000000-0005-0000-0000-000097390000}"/>
    <cellStyle name="Percent 63 3 4" xfId="14722" xr:uid="{00000000-0005-0000-0000-000098390000}"/>
    <cellStyle name="Percent 63 3 4 2" xfId="14723" xr:uid="{00000000-0005-0000-0000-000099390000}"/>
    <cellStyle name="Percent 63 3 5" xfId="14724" xr:uid="{00000000-0005-0000-0000-00009A390000}"/>
    <cellStyle name="Percent 63 3 5 2" xfId="14725" xr:uid="{00000000-0005-0000-0000-00009B390000}"/>
    <cellStyle name="Percent 63 3 6" xfId="14726" xr:uid="{00000000-0005-0000-0000-00009C390000}"/>
    <cellStyle name="Percent 63 4" xfId="14727" xr:uid="{00000000-0005-0000-0000-00009D390000}"/>
    <cellStyle name="Percent 63 4 2" xfId="14728" xr:uid="{00000000-0005-0000-0000-00009E390000}"/>
    <cellStyle name="Percent 63 4 2 2" xfId="14729" xr:uid="{00000000-0005-0000-0000-00009F390000}"/>
    <cellStyle name="Percent 63 4 3" xfId="14730" xr:uid="{00000000-0005-0000-0000-0000A0390000}"/>
    <cellStyle name="Percent 63 4 3 2" xfId="14731" xr:uid="{00000000-0005-0000-0000-0000A1390000}"/>
    <cellStyle name="Percent 63 4 4" xfId="14732" xr:uid="{00000000-0005-0000-0000-0000A2390000}"/>
    <cellStyle name="Percent 63 5" xfId="14733" xr:uid="{00000000-0005-0000-0000-0000A3390000}"/>
    <cellStyle name="Percent 63 5 2" xfId="14734" xr:uid="{00000000-0005-0000-0000-0000A4390000}"/>
    <cellStyle name="Percent 63 5 2 2" xfId="14735" xr:uid="{00000000-0005-0000-0000-0000A5390000}"/>
    <cellStyle name="Percent 63 5 3" xfId="14736" xr:uid="{00000000-0005-0000-0000-0000A6390000}"/>
    <cellStyle name="Percent 63 6" xfId="14737" xr:uid="{00000000-0005-0000-0000-0000A7390000}"/>
    <cellStyle name="Percent 63 6 2" xfId="14738" xr:uid="{00000000-0005-0000-0000-0000A8390000}"/>
    <cellStyle name="Percent 63 7" xfId="14739" xr:uid="{00000000-0005-0000-0000-0000A9390000}"/>
    <cellStyle name="Percent 63 7 2" xfId="14740" xr:uid="{00000000-0005-0000-0000-0000AA390000}"/>
    <cellStyle name="Percent 63 8" xfId="14741" xr:uid="{00000000-0005-0000-0000-0000AB390000}"/>
    <cellStyle name="Percent 64" xfId="14742" xr:uid="{00000000-0005-0000-0000-0000AC390000}"/>
    <cellStyle name="Percent 64 2" xfId="14743" xr:uid="{00000000-0005-0000-0000-0000AD390000}"/>
    <cellStyle name="Percent 64 2 2" xfId="14744" xr:uid="{00000000-0005-0000-0000-0000AE390000}"/>
    <cellStyle name="Percent 64 2 2 2" xfId="14745" xr:uid="{00000000-0005-0000-0000-0000AF390000}"/>
    <cellStyle name="Percent 64 2 2 2 2" xfId="14746" xr:uid="{00000000-0005-0000-0000-0000B0390000}"/>
    <cellStyle name="Percent 64 2 2 2 2 2" xfId="14747" xr:uid="{00000000-0005-0000-0000-0000B1390000}"/>
    <cellStyle name="Percent 64 2 2 2 3" xfId="14748" xr:uid="{00000000-0005-0000-0000-0000B2390000}"/>
    <cellStyle name="Percent 64 2 2 2 3 2" xfId="14749" xr:uid="{00000000-0005-0000-0000-0000B3390000}"/>
    <cellStyle name="Percent 64 2 2 2 4" xfId="14750" xr:uid="{00000000-0005-0000-0000-0000B4390000}"/>
    <cellStyle name="Percent 64 2 2 3" xfId="14751" xr:uid="{00000000-0005-0000-0000-0000B5390000}"/>
    <cellStyle name="Percent 64 2 2 3 2" xfId="14752" xr:uid="{00000000-0005-0000-0000-0000B6390000}"/>
    <cellStyle name="Percent 64 2 2 3 2 2" xfId="14753" xr:uid="{00000000-0005-0000-0000-0000B7390000}"/>
    <cellStyle name="Percent 64 2 2 3 3" xfId="14754" xr:uid="{00000000-0005-0000-0000-0000B8390000}"/>
    <cellStyle name="Percent 64 2 2 4" xfId="14755" xr:uid="{00000000-0005-0000-0000-0000B9390000}"/>
    <cellStyle name="Percent 64 2 2 4 2" xfId="14756" xr:uid="{00000000-0005-0000-0000-0000BA390000}"/>
    <cellStyle name="Percent 64 2 2 5" xfId="14757" xr:uid="{00000000-0005-0000-0000-0000BB390000}"/>
    <cellStyle name="Percent 64 2 2 5 2" xfId="14758" xr:uid="{00000000-0005-0000-0000-0000BC390000}"/>
    <cellStyle name="Percent 64 2 2 6" xfId="14759" xr:uid="{00000000-0005-0000-0000-0000BD390000}"/>
    <cellStyle name="Percent 64 2 3" xfId="14760" xr:uid="{00000000-0005-0000-0000-0000BE390000}"/>
    <cellStyle name="Percent 64 2 3 2" xfId="14761" xr:uid="{00000000-0005-0000-0000-0000BF390000}"/>
    <cellStyle name="Percent 64 2 3 2 2" xfId="14762" xr:uid="{00000000-0005-0000-0000-0000C0390000}"/>
    <cellStyle name="Percent 64 2 3 3" xfId="14763" xr:uid="{00000000-0005-0000-0000-0000C1390000}"/>
    <cellStyle name="Percent 64 2 3 3 2" xfId="14764" xr:uid="{00000000-0005-0000-0000-0000C2390000}"/>
    <cellStyle name="Percent 64 2 3 4" xfId="14765" xr:uid="{00000000-0005-0000-0000-0000C3390000}"/>
    <cellStyle name="Percent 64 2 4" xfId="14766" xr:uid="{00000000-0005-0000-0000-0000C4390000}"/>
    <cellStyle name="Percent 64 2 4 2" xfId="14767" xr:uid="{00000000-0005-0000-0000-0000C5390000}"/>
    <cellStyle name="Percent 64 2 4 2 2" xfId="14768" xr:uid="{00000000-0005-0000-0000-0000C6390000}"/>
    <cellStyle name="Percent 64 2 4 3" xfId="14769" xr:uid="{00000000-0005-0000-0000-0000C7390000}"/>
    <cellStyle name="Percent 64 2 5" xfId="14770" xr:uid="{00000000-0005-0000-0000-0000C8390000}"/>
    <cellStyle name="Percent 64 2 5 2" xfId="14771" xr:uid="{00000000-0005-0000-0000-0000C9390000}"/>
    <cellStyle name="Percent 64 2 6" xfId="14772" xr:uid="{00000000-0005-0000-0000-0000CA390000}"/>
    <cellStyle name="Percent 64 2 6 2" xfId="14773" xr:uid="{00000000-0005-0000-0000-0000CB390000}"/>
    <cellStyle name="Percent 64 2 7" xfId="14774" xr:uid="{00000000-0005-0000-0000-0000CC390000}"/>
    <cellStyle name="Percent 64 3" xfId="14775" xr:uid="{00000000-0005-0000-0000-0000CD390000}"/>
    <cellStyle name="Percent 64 3 2" xfId="14776" xr:uid="{00000000-0005-0000-0000-0000CE390000}"/>
    <cellStyle name="Percent 64 3 2 2" xfId="14777" xr:uid="{00000000-0005-0000-0000-0000CF390000}"/>
    <cellStyle name="Percent 64 3 2 2 2" xfId="14778" xr:uid="{00000000-0005-0000-0000-0000D0390000}"/>
    <cellStyle name="Percent 64 3 2 3" xfId="14779" xr:uid="{00000000-0005-0000-0000-0000D1390000}"/>
    <cellStyle name="Percent 64 3 2 3 2" xfId="14780" xr:uid="{00000000-0005-0000-0000-0000D2390000}"/>
    <cellStyle name="Percent 64 3 2 4" xfId="14781" xr:uid="{00000000-0005-0000-0000-0000D3390000}"/>
    <cellStyle name="Percent 64 3 3" xfId="14782" xr:uid="{00000000-0005-0000-0000-0000D4390000}"/>
    <cellStyle name="Percent 64 3 3 2" xfId="14783" xr:uid="{00000000-0005-0000-0000-0000D5390000}"/>
    <cellStyle name="Percent 64 3 3 2 2" xfId="14784" xr:uid="{00000000-0005-0000-0000-0000D6390000}"/>
    <cellStyle name="Percent 64 3 3 3" xfId="14785" xr:uid="{00000000-0005-0000-0000-0000D7390000}"/>
    <cellStyle name="Percent 64 3 4" xfId="14786" xr:uid="{00000000-0005-0000-0000-0000D8390000}"/>
    <cellStyle name="Percent 64 3 4 2" xfId="14787" xr:uid="{00000000-0005-0000-0000-0000D9390000}"/>
    <cellStyle name="Percent 64 3 5" xfId="14788" xr:uid="{00000000-0005-0000-0000-0000DA390000}"/>
    <cellStyle name="Percent 64 3 5 2" xfId="14789" xr:uid="{00000000-0005-0000-0000-0000DB390000}"/>
    <cellStyle name="Percent 64 3 6" xfId="14790" xr:uid="{00000000-0005-0000-0000-0000DC390000}"/>
    <cellStyle name="Percent 64 4" xfId="14791" xr:uid="{00000000-0005-0000-0000-0000DD390000}"/>
    <cellStyle name="Percent 64 4 2" xfId="14792" xr:uid="{00000000-0005-0000-0000-0000DE390000}"/>
    <cellStyle name="Percent 64 4 2 2" xfId="14793" xr:uid="{00000000-0005-0000-0000-0000DF390000}"/>
    <cellStyle name="Percent 64 4 3" xfId="14794" xr:uid="{00000000-0005-0000-0000-0000E0390000}"/>
    <cellStyle name="Percent 64 4 3 2" xfId="14795" xr:uid="{00000000-0005-0000-0000-0000E1390000}"/>
    <cellStyle name="Percent 64 4 4" xfId="14796" xr:uid="{00000000-0005-0000-0000-0000E2390000}"/>
    <cellStyle name="Percent 64 5" xfId="14797" xr:uid="{00000000-0005-0000-0000-0000E3390000}"/>
    <cellStyle name="Percent 64 5 2" xfId="14798" xr:uid="{00000000-0005-0000-0000-0000E4390000}"/>
    <cellStyle name="Percent 64 5 2 2" xfId="14799" xr:uid="{00000000-0005-0000-0000-0000E5390000}"/>
    <cellStyle name="Percent 64 5 3" xfId="14800" xr:uid="{00000000-0005-0000-0000-0000E6390000}"/>
    <cellStyle name="Percent 64 6" xfId="14801" xr:uid="{00000000-0005-0000-0000-0000E7390000}"/>
    <cellStyle name="Percent 64 6 2" xfId="14802" xr:uid="{00000000-0005-0000-0000-0000E8390000}"/>
    <cellStyle name="Percent 64 7" xfId="14803" xr:uid="{00000000-0005-0000-0000-0000E9390000}"/>
    <cellStyle name="Percent 64 7 2" xfId="14804" xr:uid="{00000000-0005-0000-0000-0000EA390000}"/>
    <cellStyle name="Percent 64 8" xfId="14805" xr:uid="{00000000-0005-0000-0000-0000EB390000}"/>
    <cellStyle name="Percent 65" xfId="14806" xr:uid="{00000000-0005-0000-0000-0000EC390000}"/>
    <cellStyle name="Percent 65 2" xfId="14807" xr:uid="{00000000-0005-0000-0000-0000ED390000}"/>
    <cellStyle name="Percent 65 2 2" xfId="14808" xr:uid="{00000000-0005-0000-0000-0000EE390000}"/>
    <cellStyle name="Percent 65 2 2 2" xfId="14809" xr:uid="{00000000-0005-0000-0000-0000EF390000}"/>
    <cellStyle name="Percent 65 2 2 2 2" xfId="14810" xr:uid="{00000000-0005-0000-0000-0000F0390000}"/>
    <cellStyle name="Percent 65 2 2 2 2 2" xfId="14811" xr:uid="{00000000-0005-0000-0000-0000F1390000}"/>
    <cellStyle name="Percent 65 2 2 2 3" xfId="14812" xr:uid="{00000000-0005-0000-0000-0000F2390000}"/>
    <cellStyle name="Percent 65 2 2 2 3 2" xfId="14813" xr:uid="{00000000-0005-0000-0000-0000F3390000}"/>
    <cellStyle name="Percent 65 2 2 2 4" xfId="14814" xr:uid="{00000000-0005-0000-0000-0000F4390000}"/>
    <cellStyle name="Percent 65 2 2 3" xfId="14815" xr:uid="{00000000-0005-0000-0000-0000F5390000}"/>
    <cellStyle name="Percent 65 2 2 3 2" xfId="14816" xr:uid="{00000000-0005-0000-0000-0000F6390000}"/>
    <cellStyle name="Percent 65 2 2 3 2 2" xfId="14817" xr:uid="{00000000-0005-0000-0000-0000F7390000}"/>
    <cellStyle name="Percent 65 2 2 3 3" xfId="14818" xr:uid="{00000000-0005-0000-0000-0000F8390000}"/>
    <cellStyle name="Percent 65 2 2 4" xfId="14819" xr:uid="{00000000-0005-0000-0000-0000F9390000}"/>
    <cellStyle name="Percent 65 2 2 4 2" xfId="14820" xr:uid="{00000000-0005-0000-0000-0000FA390000}"/>
    <cellStyle name="Percent 65 2 2 5" xfId="14821" xr:uid="{00000000-0005-0000-0000-0000FB390000}"/>
    <cellStyle name="Percent 65 2 2 5 2" xfId="14822" xr:uid="{00000000-0005-0000-0000-0000FC390000}"/>
    <cellStyle name="Percent 65 2 2 6" xfId="14823" xr:uid="{00000000-0005-0000-0000-0000FD390000}"/>
    <cellStyle name="Percent 65 2 3" xfId="14824" xr:uid="{00000000-0005-0000-0000-0000FE390000}"/>
    <cellStyle name="Percent 65 2 3 2" xfId="14825" xr:uid="{00000000-0005-0000-0000-0000FF390000}"/>
    <cellStyle name="Percent 65 2 3 2 2" xfId="14826" xr:uid="{00000000-0005-0000-0000-0000003A0000}"/>
    <cellStyle name="Percent 65 2 3 3" xfId="14827" xr:uid="{00000000-0005-0000-0000-0000013A0000}"/>
    <cellStyle name="Percent 65 2 3 3 2" xfId="14828" xr:uid="{00000000-0005-0000-0000-0000023A0000}"/>
    <cellStyle name="Percent 65 2 3 4" xfId="14829" xr:uid="{00000000-0005-0000-0000-0000033A0000}"/>
    <cellStyle name="Percent 65 2 4" xfId="14830" xr:uid="{00000000-0005-0000-0000-0000043A0000}"/>
    <cellStyle name="Percent 65 2 4 2" xfId="14831" xr:uid="{00000000-0005-0000-0000-0000053A0000}"/>
    <cellStyle name="Percent 65 2 4 2 2" xfId="14832" xr:uid="{00000000-0005-0000-0000-0000063A0000}"/>
    <cellStyle name="Percent 65 2 4 3" xfId="14833" xr:uid="{00000000-0005-0000-0000-0000073A0000}"/>
    <cellStyle name="Percent 65 2 5" xfId="14834" xr:uid="{00000000-0005-0000-0000-0000083A0000}"/>
    <cellStyle name="Percent 65 2 5 2" xfId="14835" xr:uid="{00000000-0005-0000-0000-0000093A0000}"/>
    <cellStyle name="Percent 65 2 6" xfId="14836" xr:uid="{00000000-0005-0000-0000-00000A3A0000}"/>
    <cellStyle name="Percent 65 2 6 2" xfId="14837" xr:uid="{00000000-0005-0000-0000-00000B3A0000}"/>
    <cellStyle name="Percent 65 2 7" xfId="14838" xr:uid="{00000000-0005-0000-0000-00000C3A0000}"/>
    <cellStyle name="Percent 65 3" xfId="14839" xr:uid="{00000000-0005-0000-0000-00000D3A0000}"/>
    <cellStyle name="Percent 65 3 2" xfId="14840" xr:uid="{00000000-0005-0000-0000-00000E3A0000}"/>
    <cellStyle name="Percent 65 3 2 2" xfId="14841" xr:uid="{00000000-0005-0000-0000-00000F3A0000}"/>
    <cellStyle name="Percent 65 3 2 2 2" xfId="14842" xr:uid="{00000000-0005-0000-0000-0000103A0000}"/>
    <cellStyle name="Percent 65 3 2 3" xfId="14843" xr:uid="{00000000-0005-0000-0000-0000113A0000}"/>
    <cellStyle name="Percent 65 3 2 3 2" xfId="14844" xr:uid="{00000000-0005-0000-0000-0000123A0000}"/>
    <cellStyle name="Percent 65 3 2 4" xfId="14845" xr:uid="{00000000-0005-0000-0000-0000133A0000}"/>
    <cellStyle name="Percent 65 3 3" xfId="14846" xr:uid="{00000000-0005-0000-0000-0000143A0000}"/>
    <cellStyle name="Percent 65 3 3 2" xfId="14847" xr:uid="{00000000-0005-0000-0000-0000153A0000}"/>
    <cellStyle name="Percent 65 3 3 2 2" xfId="14848" xr:uid="{00000000-0005-0000-0000-0000163A0000}"/>
    <cellStyle name="Percent 65 3 3 3" xfId="14849" xr:uid="{00000000-0005-0000-0000-0000173A0000}"/>
    <cellStyle name="Percent 65 3 4" xfId="14850" xr:uid="{00000000-0005-0000-0000-0000183A0000}"/>
    <cellStyle name="Percent 65 3 4 2" xfId="14851" xr:uid="{00000000-0005-0000-0000-0000193A0000}"/>
    <cellStyle name="Percent 65 3 5" xfId="14852" xr:uid="{00000000-0005-0000-0000-00001A3A0000}"/>
    <cellStyle name="Percent 65 3 5 2" xfId="14853" xr:uid="{00000000-0005-0000-0000-00001B3A0000}"/>
    <cellStyle name="Percent 65 3 6" xfId="14854" xr:uid="{00000000-0005-0000-0000-00001C3A0000}"/>
    <cellStyle name="Percent 65 4" xfId="14855" xr:uid="{00000000-0005-0000-0000-00001D3A0000}"/>
    <cellStyle name="Percent 65 4 2" xfId="14856" xr:uid="{00000000-0005-0000-0000-00001E3A0000}"/>
    <cellStyle name="Percent 65 4 2 2" xfId="14857" xr:uid="{00000000-0005-0000-0000-00001F3A0000}"/>
    <cellStyle name="Percent 65 4 3" xfId="14858" xr:uid="{00000000-0005-0000-0000-0000203A0000}"/>
    <cellStyle name="Percent 65 4 3 2" xfId="14859" xr:uid="{00000000-0005-0000-0000-0000213A0000}"/>
    <cellStyle name="Percent 65 4 4" xfId="14860" xr:uid="{00000000-0005-0000-0000-0000223A0000}"/>
    <cellStyle name="Percent 65 5" xfId="14861" xr:uid="{00000000-0005-0000-0000-0000233A0000}"/>
    <cellStyle name="Percent 65 5 2" xfId="14862" xr:uid="{00000000-0005-0000-0000-0000243A0000}"/>
    <cellStyle name="Percent 65 5 2 2" xfId="14863" xr:uid="{00000000-0005-0000-0000-0000253A0000}"/>
    <cellStyle name="Percent 65 5 3" xfId="14864" xr:uid="{00000000-0005-0000-0000-0000263A0000}"/>
    <cellStyle name="Percent 65 6" xfId="14865" xr:uid="{00000000-0005-0000-0000-0000273A0000}"/>
    <cellStyle name="Percent 65 6 2" xfId="14866" xr:uid="{00000000-0005-0000-0000-0000283A0000}"/>
    <cellStyle name="Percent 65 7" xfId="14867" xr:uid="{00000000-0005-0000-0000-0000293A0000}"/>
    <cellStyle name="Percent 65 7 2" xfId="14868" xr:uid="{00000000-0005-0000-0000-00002A3A0000}"/>
    <cellStyle name="Percent 65 8" xfId="14869" xr:uid="{00000000-0005-0000-0000-00002B3A0000}"/>
    <cellStyle name="Percent 66" xfId="14870" xr:uid="{00000000-0005-0000-0000-00002C3A0000}"/>
    <cellStyle name="Percent 66 2" xfId="14871" xr:uid="{00000000-0005-0000-0000-00002D3A0000}"/>
    <cellStyle name="Percent 66 2 2" xfId="14872" xr:uid="{00000000-0005-0000-0000-00002E3A0000}"/>
    <cellStyle name="Percent 66 2 2 2" xfId="14873" xr:uid="{00000000-0005-0000-0000-00002F3A0000}"/>
    <cellStyle name="Percent 66 2 2 2 2" xfId="14874" xr:uid="{00000000-0005-0000-0000-0000303A0000}"/>
    <cellStyle name="Percent 66 2 2 2 2 2" xfId="14875" xr:uid="{00000000-0005-0000-0000-0000313A0000}"/>
    <cellStyle name="Percent 66 2 2 2 3" xfId="14876" xr:uid="{00000000-0005-0000-0000-0000323A0000}"/>
    <cellStyle name="Percent 66 2 2 2 3 2" xfId="14877" xr:uid="{00000000-0005-0000-0000-0000333A0000}"/>
    <cellStyle name="Percent 66 2 2 2 4" xfId="14878" xr:uid="{00000000-0005-0000-0000-0000343A0000}"/>
    <cellStyle name="Percent 66 2 2 3" xfId="14879" xr:uid="{00000000-0005-0000-0000-0000353A0000}"/>
    <cellStyle name="Percent 66 2 2 3 2" xfId="14880" xr:uid="{00000000-0005-0000-0000-0000363A0000}"/>
    <cellStyle name="Percent 66 2 2 3 2 2" xfId="14881" xr:uid="{00000000-0005-0000-0000-0000373A0000}"/>
    <cellStyle name="Percent 66 2 2 3 3" xfId="14882" xr:uid="{00000000-0005-0000-0000-0000383A0000}"/>
    <cellStyle name="Percent 66 2 2 4" xfId="14883" xr:uid="{00000000-0005-0000-0000-0000393A0000}"/>
    <cellStyle name="Percent 66 2 2 4 2" xfId="14884" xr:uid="{00000000-0005-0000-0000-00003A3A0000}"/>
    <cellStyle name="Percent 66 2 2 5" xfId="14885" xr:uid="{00000000-0005-0000-0000-00003B3A0000}"/>
    <cellStyle name="Percent 66 2 2 5 2" xfId="14886" xr:uid="{00000000-0005-0000-0000-00003C3A0000}"/>
    <cellStyle name="Percent 66 2 2 6" xfId="14887" xr:uid="{00000000-0005-0000-0000-00003D3A0000}"/>
    <cellStyle name="Percent 66 2 3" xfId="14888" xr:uid="{00000000-0005-0000-0000-00003E3A0000}"/>
    <cellStyle name="Percent 66 2 3 2" xfId="14889" xr:uid="{00000000-0005-0000-0000-00003F3A0000}"/>
    <cellStyle name="Percent 66 2 3 2 2" xfId="14890" xr:uid="{00000000-0005-0000-0000-0000403A0000}"/>
    <cellStyle name="Percent 66 2 3 3" xfId="14891" xr:uid="{00000000-0005-0000-0000-0000413A0000}"/>
    <cellStyle name="Percent 66 2 3 3 2" xfId="14892" xr:uid="{00000000-0005-0000-0000-0000423A0000}"/>
    <cellStyle name="Percent 66 2 3 4" xfId="14893" xr:uid="{00000000-0005-0000-0000-0000433A0000}"/>
    <cellStyle name="Percent 66 2 4" xfId="14894" xr:uid="{00000000-0005-0000-0000-0000443A0000}"/>
    <cellStyle name="Percent 66 2 4 2" xfId="14895" xr:uid="{00000000-0005-0000-0000-0000453A0000}"/>
    <cellStyle name="Percent 66 2 4 2 2" xfId="14896" xr:uid="{00000000-0005-0000-0000-0000463A0000}"/>
    <cellStyle name="Percent 66 2 4 3" xfId="14897" xr:uid="{00000000-0005-0000-0000-0000473A0000}"/>
    <cellStyle name="Percent 66 2 5" xfId="14898" xr:uid="{00000000-0005-0000-0000-0000483A0000}"/>
    <cellStyle name="Percent 66 2 5 2" xfId="14899" xr:uid="{00000000-0005-0000-0000-0000493A0000}"/>
    <cellStyle name="Percent 66 2 6" xfId="14900" xr:uid="{00000000-0005-0000-0000-00004A3A0000}"/>
    <cellStyle name="Percent 66 2 6 2" xfId="14901" xr:uid="{00000000-0005-0000-0000-00004B3A0000}"/>
    <cellStyle name="Percent 66 2 7" xfId="14902" xr:uid="{00000000-0005-0000-0000-00004C3A0000}"/>
    <cellStyle name="Percent 66 3" xfId="14903" xr:uid="{00000000-0005-0000-0000-00004D3A0000}"/>
    <cellStyle name="Percent 66 3 2" xfId="14904" xr:uid="{00000000-0005-0000-0000-00004E3A0000}"/>
    <cellStyle name="Percent 66 3 2 2" xfId="14905" xr:uid="{00000000-0005-0000-0000-00004F3A0000}"/>
    <cellStyle name="Percent 66 3 2 2 2" xfId="14906" xr:uid="{00000000-0005-0000-0000-0000503A0000}"/>
    <cellStyle name="Percent 66 3 2 3" xfId="14907" xr:uid="{00000000-0005-0000-0000-0000513A0000}"/>
    <cellStyle name="Percent 66 3 2 3 2" xfId="14908" xr:uid="{00000000-0005-0000-0000-0000523A0000}"/>
    <cellStyle name="Percent 66 3 2 4" xfId="14909" xr:uid="{00000000-0005-0000-0000-0000533A0000}"/>
    <cellStyle name="Percent 66 3 3" xfId="14910" xr:uid="{00000000-0005-0000-0000-0000543A0000}"/>
    <cellStyle name="Percent 66 3 3 2" xfId="14911" xr:uid="{00000000-0005-0000-0000-0000553A0000}"/>
    <cellStyle name="Percent 66 3 3 2 2" xfId="14912" xr:uid="{00000000-0005-0000-0000-0000563A0000}"/>
    <cellStyle name="Percent 66 3 3 3" xfId="14913" xr:uid="{00000000-0005-0000-0000-0000573A0000}"/>
    <cellStyle name="Percent 66 3 4" xfId="14914" xr:uid="{00000000-0005-0000-0000-0000583A0000}"/>
    <cellStyle name="Percent 66 3 4 2" xfId="14915" xr:uid="{00000000-0005-0000-0000-0000593A0000}"/>
    <cellStyle name="Percent 66 3 5" xfId="14916" xr:uid="{00000000-0005-0000-0000-00005A3A0000}"/>
    <cellStyle name="Percent 66 3 5 2" xfId="14917" xr:uid="{00000000-0005-0000-0000-00005B3A0000}"/>
    <cellStyle name="Percent 66 3 6" xfId="14918" xr:uid="{00000000-0005-0000-0000-00005C3A0000}"/>
    <cellStyle name="Percent 66 4" xfId="14919" xr:uid="{00000000-0005-0000-0000-00005D3A0000}"/>
    <cellStyle name="Percent 66 4 2" xfId="14920" xr:uid="{00000000-0005-0000-0000-00005E3A0000}"/>
    <cellStyle name="Percent 66 4 2 2" xfId="14921" xr:uid="{00000000-0005-0000-0000-00005F3A0000}"/>
    <cellStyle name="Percent 66 4 3" xfId="14922" xr:uid="{00000000-0005-0000-0000-0000603A0000}"/>
    <cellStyle name="Percent 66 4 3 2" xfId="14923" xr:uid="{00000000-0005-0000-0000-0000613A0000}"/>
    <cellStyle name="Percent 66 4 4" xfId="14924" xr:uid="{00000000-0005-0000-0000-0000623A0000}"/>
    <cellStyle name="Percent 66 5" xfId="14925" xr:uid="{00000000-0005-0000-0000-0000633A0000}"/>
    <cellStyle name="Percent 66 5 2" xfId="14926" xr:uid="{00000000-0005-0000-0000-0000643A0000}"/>
    <cellStyle name="Percent 66 5 2 2" xfId="14927" xr:uid="{00000000-0005-0000-0000-0000653A0000}"/>
    <cellStyle name="Percent 66 5 3" xfId="14928" xr:uid="{00000000-0005-0000-0000-0000663A0000}"/>
    <cellStyle name="Percent 66 6" xfId="14929" xr:uid="{00000000-0005-0000-0000-0000673A0000}"/>
    <cellStyle name="Percent 66 6 2" xfId="14930" xr:uid="{00000000-0005-0000-0000-0000683A0000}"/>
    <cellStyle name="Percent 66 7" xfId="14931" xr:uid="{00000000-0005-0000-0000-0000693A0000}"/>
    <cellStyle name="Percent 66 7 2" xfId="14932" xr:uid="{00000000-0005-0000-0000-00006A3A0000}"/>
    <cellStyle name="Percent 66 8" xfId="14933" xr:uid="{00000000-0005-0000-0000-00006B3A0000}"/>
    <cellStyle name="Percent 67" xfId="14934" xr:uid="{00000000-0005-0000-0000-00006C3A0000}"/>
    <cellStyle name="Percent 67 2" xfId="14935" xr:uid="{00000000-0005-0000-0000-00006D3A0000}"/>
    <cellStyle name="Percent 67 2 2" xfId="14936" xr:uid="{00000000-0005-0000-0000-00006E3A0000}"/>
    <cellStyle name="Percent 67 2 2 2" xfId="14937" xr:uid="{00000000-0005-0000-0000-00006F3A0000}"/>
    <cellStyle name="Percent 67 2 2 2 2" xfId="14938" xr:uid="{00000000-0005-0000-0000-0000703A0000}"/>
    <cellStyle name="Percent 67 2 2 2 2 2" xfId="14939" xr:uid="{00000000-0005-0000-0000-0000713A0000}"/>
    <cellStyle name="Percent 67 2 2 2 3" xfId="14940" xr:uid="{00000000-0005-0000-0000-0000723A0000}"/>
    <cellStyle name="Percent 67 2 2 2 3 2" xfId="14941" xr:uid="{00000000-0005-0000-0000-0000733A0000}"/>
    <cellStyle name="Percent 67 2 2 2 4" xfId="14942" xr:uid="{00000000-0005-0000-0000-0000743A0000}"/>
    <cellStyle name="Percent 67 2 2 3" xfId="14943" xr:uid="{00000000-0005-0000-0000-0000753A0000}"/>
    <cellStyle name="Percent 67 2 2 3 2" xfId="14944" xr:uid="{00000000-0005-0000-0000-0000763A0000}"/>
    <cellStyle name="Percent 67 2 2 3 2 2" xfId="14945" xr:uid="{00000000-0005-0000-0000-0000773A0000}"/>
    <cellStyle name="Percent 67 2 2 3 3" xfId="14946" xr:uid="{00000000-0005-0000-0000-0000783A0000}"/>
    <cellStyle name="Percent 67 2 2 4" xfId="14947" xr:uid="{00000000-0005-0000-0000-0000793A0000}"/>
    <cellStyle name="Percent 67 2 2 4 2" xfId="14948" xr:uid="{00000000-0005-0000-0000-00007A3A0000}"/>
    <cellStyle name="Percent 67 2 2 5" xfId="14949" xr:uid="{00000000-0005-0000-0000-00007B3A0000}"/>
    <cellStyle name="Percent 67 2 2 5 2" xfId="14950" xr:uid="{00000000-0005-0000-0000-00007C3A0000}"/>
    <cellStyle name="Percent 67 2 2 6" xfId="14951" xr:uid="{00000000-0005-0000-0000-00007D3A0000}"/>
    <cellStyle name="Percent 67 2 3" xfId="14952" xr:uid="{00000000-0005-0000-0000-00007E3A0000}"/>
    <cellStyle name="Percent 67 2 3 2" xfId="14953" xr:uid="{00000000-0005-0000-0000-00007F3A0000}"/>
    <cellStyle name="Percent 67 2 3 2 2" xfId="14954" xr:uid="{00000000-0005-0000-0000-0000803A0000}"/>
    <cellStyle name="Percent 67 2 3 3" xfId="14955" xr:uid="{00000000-0005-0000-0000-0000813A0000}"/>
    <cellStyle name="Percent 67 2 3 3 2" xfId="14956" xr:uid="{00000000-0005-0000-0000-0000823A0000}"/>
    <cellStyle name="Percent 67 2 3 4" xfId="14957" xr:uid="{00000000-0005-0000-0000-0000833A0000}"/>
    <cellStyle name="Percent 67 2 4" xfId="14958" xr:uid="{00000000-0005-0000-0000-0000843A0000}"/>
    <cellStyle name="Percent 67 2 4 2" xfId="14959" xr:uid="{00000000-0005-0000-0000-0000853A0000}"/>
    <cellStyle name="Percent 67 2 4 2 2" xfId="14960" xr:uid="{00000000-0005-0000-0000-0000863A0000}"/>
    <cellStyle name="Percent 67 2 4 3" xfId="14961" xr:uid="{00000000-0005-0000-0000-0000873A0000}"/>
    <cellStyle name="Percent 67 2 5" xfId="14962" xr:uid="{00000000-0005-0000-0000-0000883A0000}"/>
    <cellStyle name="Percent 67 2 5 2" xfId="14963" xr:uid="{00000000-0005-0000-0000-0000893A0000}"/>
    <cellStyle name="Percent 67 2 6" xfId="14964" xr:uid="{00000000-0005-0000-0000-00008A3A0000}"/>
    <cellStyle name="Percent 67 2 6 2" xfId="14965" xr:uid="{00000000-0005-0000-0000-00008B3A0000}"/>
    <cellStyle name="Percent 67 2 7" xfId="14966" xr:uid="{00000000-0005-0000-0000-00008C3A0000}"/>
    <cellStyle name="Percent 67 3" xfId="14967" xr:uid="{00000000-0005-0000-0000-00008D3A0000}"/>
    <cellStyle name="Percent 67 3 2" xfId="14968" xr:uid="{00000000-0005-0000-0000-00008E3A0000}"/>
    <cellStyle name="Percent 67 3 2 2" xfId="14969" xr:uid="{00000000-0005-0000-0000-00008F3A0000}"/>
    <cellStyle name="Percent 67 3 2 2 2" xfId="14970" xr:uid="{00000000-0005-0000-0000-0000903A0000}"/>
    <cellStyle name="Percent 67 3 2 3" xfId="14971" xr:uid="{00000000-0005-0000-0000-0000913A0000}"/>
    <cellStyle name="Percent 67 3 2 3 2" xfId="14972" xr:uid="{00000000-0005-0000-0000-0000923A0000}"/>
    <cellStyle name="Percent 67 3 2 4" xfId="14973" xr:uid="{00000000-0005-0000-0000-0000933A0000}"/>
    <cellStyle name="Percent 67 3 3" xfId="14974" xr:uid="{00000000-0005-0000-0000-0000943A0000}"/>
    <cellStyle name="Percent 67 3 3 2" xfId="14975" xr:uid="{00000000-0005-0000-0000-0000953A0000}"/>
    <cellStyle name="Percent 67 3 3 2 2" xfId="14976" xr:uid="{00000000-0005-0000-0000-0000963A0000}"/>
    <cellStyle name="Percent 67 3 3 3" xfId="14977" xr:uid="{00000000-0005-0000-0000-0000973A0000}"/>
    <cellStyle name="Percent 67 3 4" xfId="14978" xr:uid="{00000000-0005-0000-0000-0000983A0000}"/>
    <cellStyle name="Percent 67 3 4 2" xfId="14979" xr:uid="{00000000-0005-0000-0000-0000993A0000}"/>
    <cellStyle name="Percent 67 3 5" xfId="14980" xr:uid="{00000000-0005-0000-0000-00009A3A0000}"/>
    <cellStyle name="Percent 67 3 5 2" xfId="14981" xr:uid="{00000000-0005-0000-0000-00009B3A0000}"/>
    <cellStyle name="Percent 67 3 6" xfId="14982" xr:uid="{00000000-0005-0000-0000-00009C3A0000}"/>
    <cellStyle name="Percent 67 4" xfId="14983" xr:uid="{00000000-0005-0000-0000-00009D3A0000}"/>
    <cellStyle name="Percent 67 4 2" xfId="14984" xr:uid="{00000000-0005-0000-0000-00009E3A0000}"/>
    <cellStyle name="Percent 67 4 2 2" xfId="14985" xr:uid="{00000000-0005-0000-0000-00009F3A0000}"/>
    <cellStyle name="Percent 67 4 3" xfId="14986" xr:uid="{00000000-0005-0000-0000-0000A03A0000}"/>
    <cellStyle name="Percent 67 4 3 2" xfId="14987" xr:uid="{00000000-0005-0000-0000-0000A13A0000}"/>
    <cellStyle name="Percent 67 4 4" xfId="14988" xr:uid="{00000000-0005-0000-0000-0000A23A0000}"/>
    <cellStyle name="Percent 67 5" xfId="14989" xr:uid="{00000000-0005-0000-0000-0000A33A0000}"/>
    <cellStyle name="Percent 67 5 2" xfId="14990" xr:uid="{00000000-0005-0000-0000-0000A43A0000}"/>
    <cellStyle name="Percent 67 5 2 2" xfId="14991" xr:uid="{00000000-0005-0000-0000-0000A53A0000}"/>
    <cellStyle name="Percent 67 5 3" xfId="14992" xr:uid="{00000000-0005-0000-0000-0000A63A0000}"/>
    <cellStyle name="Percent 67 6" xfId="14993" xr:uid="{00000000-0005-0000-0000-0000A73A0000}"/>
    <cellStyle name="Percent 67 6 2" xfId="14994" xr:uid="{00000000-0005-0000-0000-0000A83A0000}"/>
    <cellStyle name="Percent 67 7" xfId="14995" xr:uid="{00000000-0005-0000-0000-0000A93A0000}"/>
    <cellStyle name="Percent 67 7 2" xfId="14996" xr:uid="{00000000-0005-0000-0000-0000AA3A0000}"/>
    <cellStyle name="Percent 67 8" xfId="14997" xr:uid="{00000000-0005-0000-0000-0000AB3A0000}"/>
    <cellStyle name="Percent 68" xfId="14998" xr:uid="{00000000-0005-0000-0000-0000AC3A0000}"/>
    <cellStyle name="Percent 68 2" xfId="14999" xr:uid="{00000000-0005-0000-0000-0000AD3A0000}"/>
    <cellStyle name="Percent 68 2 2" xfId="15000" xr:uid="{00000000-0005-0000-0000-0000AE3A0000}"/>
    <cellStyle name="Percent 68 2 2 2" xfId="15001" xr:uid="{00000000-0005-0000-0000-0000AF3A0000}"/>
    <cellStyle name="Percent 68 2 2 2 2" xfId="15002" xr:uid="{00000000-0005-0000-0000-0000B03A0000}"/>
    <cellStyle name="Percent 68 2 2 2 2 2" xfId="15003" xr:uid="{00000000-0005-0000-0000-0000B13A0000}"/>
    <cellStyle name="Percent 68 2 2 2 3" xfId="15004" xr:uid="{00000000-0005-0000-0000-0000B23A0000}"/>
    <cellStyle name="Percent 68 2 2 2 3 2" xfId="15005" xr:uid="{00000000-0005-0000-0000-0000B33A0000}"/>
    <cellStyle name="Percent 68 2 2 2 4" xfId="15006" xr:uid="{00000000-0005-0000-0000-0000B43A0000}"/>
    <cellStyle name="Percent 68 2 2 3" xfId="15007" xr:uid="{00000000-0005-0000-0000-0000B53A0000}"/>
    <cellStyle name="Percent 68 2 2 3 2" xfId="15008" xr:uid="{00000000-0005-0000-0000-0000B63A0000}"/>
    <cellStyle name="Percent 68 2 2 3 2 2" xfId="15009" xr:uid="{00000000-0005-0000-0000-0000B73A0000}"/>
    <cellStyle name="Percent 68 2 2 3 3" xfId="15010" xr:uid="{00000000-0005-0000-0000-0000B83A0000}"/>
    <cellStyle name="Percent 68 2 2 4" xfId="15011" xr:uid="{00000000-0005-0000-0000-0000B93A0000}"/>
    <cellStyle name="Percent 68 2 2 4 2" xfId="15012" xr:uid="{00000000-0005-0000-0000-0000BA3A0000}"/>
    <cellStyle name="Percent 68 2 2 5" xfId="15013" xr:uid="{00000000-0005-0000-0000-0000BB3A0000}"/>
    <cellStyle name="Percent 68 2 2 5 2" xfId="15014" xr:uid="{00000000-0005-0000-0000-0000BC3A0000}"/>
    <cellStyle name="Percent 68 2 2 6" xfId="15015" xr:uid="{00000000-0005-0000-0000-0000BD3A0000}"/>
    <cellStyle name="Percent 68 2 3" xfId="15016" xr:uid="{00000000-0005-0000-0000-0000BE3A0000}"/>
    <cellStyle name="Percent 68 2 3 2" xfId="15017" xr:uid="{00000000-0005-0000-0000-0000BF3A0000}"/>
    <cellStyle name="Percent 68 2 3 2 2" xfId="15018" xr:uid="{00000000-0005-0000-0000-0000C03A0000}"/>
    <cellStyle name="Percent 68 2 3 3" xfId="15019" xr:uid="{00000000-0005-0000-0000-0000C13A0000}"/>
    <cellStyle name="Percent 68 2 3 3 2" xfId="15020" xr:uid="{00000000-0005-0000-0000-0000C23A0000}"/>
    <cellStyle name="Percent 68 2 3 4" xfId="15021" xr:uid="{00000000-0005-0000-0000-0000C33A0000}"/>
    <cellStyle name="Percent 68 2 4" xfId="15022" xr:uid="{00000000-0005-0000-0000-0000C43A0000}"/>
    <cellStyle name="Percent 68 2 4 2" xfId="15023" xr:uid="{00000000-0005-0000-0000-0000C53A0000}"/>
    <cellStyle name="Percent 68 2 4 2 2" xfId="15024" xr:uid="{00000000-0005-0000-0000-0000C63A0000}"/>
    <cellStyle name="Percent 68 2 4 3" xfId="15025" xr:uid="{00000000-0005-0000-0000-0000C73A0000}"/>
    <cellStyle name="Percent 68 2 5" xfId="15026" xr:uid="{00000000-0005-0000-0000-0000C83A0000}"/>
    <cellStyle name="Percent 68 2 5 2" xfId="15027" xr:uid="{00000000-0005-0000-0000-0000C93A0000}"/>
    <cellStyle name="Percent 68 2 6" xfId="15028" xr:uid="{00000000-0005-0000-0000-0000CA3A0000}"/>
    <cellStyle name="Percent 68 2 6 2" xfId="15029" xr:uid="{00000000-0005-0000-0000-0000CB3A0000}"/>
    <cellStyle name="Percent 68 2 7" xfId="15030" xr:uid="{00000000-0005-0000-0000-0000CC3A0000}"/>
    <cellStyle name="Percent 68 3" xfId="15031" xr:uid="{00000000-0005-0000-0000-0000CD3A0000}"/>
    <cellStyle name="Percent 68 3 2" xfId="15032" xr:uid="{00000000-0005-0000-0000-0000CE3A0000}"/>
    <cellStyle name="Percent 68 3 2 2" xfId="15033" xr:uid="{00000000-0005-0000-0000-0000CF3A0000}"/>
    <cellStyle name="Percent 68 3 2 2 2" xfId="15034" xr:uid="{00000000-0005-0000-0000-0000D03A0000}"/>
    <cellStyle name="Percent 68 3 2 3" xfId="15035" xr:uid="{00000000-0005-0000-0000-0000D13A0000}"/>
    <cellStyle name="Percent 68 3 2 3 2" xfId="15036" xr:uid="{00000000-0005-0000-0000-0000D23A0000}"/>
    <cellStyle name="Percent 68 3 2 4" xfId="15037" xr:uid="{00000000-0005-0000-0000-0000D33A0000}"/>
    <cellStyle name="Percent 68 3 3" xfId="15038" xr:uid="{00000000-0005-0000-0000-0000D43A0000}"/>
    <cellStyle name="Percent 68 3 3 2" xfId="15039" xr:uid="{00000000-0005-0000-0000-0000D53A0000}"/>
    <cellStyle name="Percent 68 3 3 2 2" xfId="15040" xr:uid="{00000000-0005-0000-0000-0000D63A0000}"/>
    <cellStyle name="Percent 68 3 3 3" xfId="15041" xr:uid="{00000000-0005-0000-0000-0000D73A0000}"/>
    <cellStyle name="Percent 68 3 4" xfId="15042" xr:uid="{00000000-0005-0000-0000-0000D83A0000}"/>
    <cellStyle name="Percent 68 3 4 2" xfId="15043" xr:uid="{00000000-0005-0000-0000-0000D93A0000}"/>
    <cellStyle name="Percent 68 3 5" xfId="15044" xr:uid="{00000000-0005-0000-0000-0000DA3A0000}"/>
    <cellStyle name="Percent 68 3 5 2" xfId="15045" xr:uid="{00000000-0005-0000-0000-0000DB3A0000}"/>
    <cellStyle name="Percent 68 3 6" xfId="15046" xr:uid="{00000000-0005-0000-0000-0000DC3A0000}"/>
    <cellStyle name="Percent 68 4" xfId="15047" xr:uid="{00000000-0005-0000-0000-0000DD3A0000}"/>
    <cellStyle name="Percent 68 4 2" xfId="15048" xr:uid="{00000000-0005-0000-0000-0000DE3A0000}"/>
    <cellStyle name="Percent 68 4 2 2" xfId="15049" xr:uid="{00000000-0005-0000-0000-0000DF3A0000}"/>
    <cellStyle name="Percent 68 4 3" xfId="15050" xr:uid="{00000000-0005-0000-0000-0000E03A0000}"/>
    <cellStyle name="Percent 68 4 3 2" xfId="15051" xr:uid="{00000000-0005-0000-0000-0000E13A0000}"/>
    <cellStyle name="Percent 68 4 4" xfId="15052" xr:uid="{00000000-0005-0000-0000-0000E23A0000}"/>
    <cellStyle name="Percent 68 5" xfId="15053" xr:uid="{00000000-0005-0000-0000-0000E33A0000}"/>
    <cellStyle name="Percent 68 5 2" xfId="15054" xr:uid="{00000000-0005-0000-0000-0000E43A0000}"/>
    <cellStyle name="Percent 68 5 2 2" xfId="15055" xr:uid="{00000000-0005-0000-0000-0000E53A0000}"/>
    <cellStyle name="Percent 68 5 3" xfId="15056" xr:uid="{00000000-0005-0000-0000-0000E63A0000}"/>
    <cellStyle name="Percent 68 6" xfId="15057" xr:uid="{00000000-0005-0000-0000-0000E73A0000}"/>
    <cellStyle name="Percent 68 6 2" xfId="15058" xr:uid="{00000000-0005-0000-0000-0000E83A0000}"/>
    <cellStyle name="Percent 68 7" xfId="15059" xr:uid="{00000000-0005-0000-0000-0000E93A0000}"/>
    <cellStyle name="Percent 68 7 2" xfId="15060" xr:uid="{00000000-0005-0000-0000-0000EA3A0000}"/>
    <cellStyle name="Percent 68 8" xfId="15061" xr:uid="{00000000-0005-0000-0000-0000EB3A0000}"/>
    <cellStyle name="Percent 69" xfId="15062" xr:uid="{00000000-0005-0000-0000-0000EC3A0000}"/>
    <cellStyle name="Percent 69 2" xfId="15063" xr:uid="{00000000-0005-0000-0000-0000ED3A0000}"/>
    <cellStyle name="Percent 69 2 2" xfId="15064" xr:uid="{00000000-0005-0000-0000-0000EE3A0000}"/>
    <cellStyle name="Percent 69 2 2 2" xfId="15065" xr:uid="{00000000-0005-0000-0000-0000EF3A0000}"/>
    <cellStyle name="Percent 69 2 2 2 2" xfId="15066" xr:uid="{00000000-0005-0000-0000-0000F03A0000}"/>
    <cellStyle name="Percent 69 2 2 2 2 2" xfId="15067" xr:uid="{00000000-0005-0000-0000-0000F13A0000}"/>
    <cellStyle name="Percent 69 2 2 2 3" xfId="15068" xr:uid="{00000000-0005-0000-0000-0000F23A0000}"/>
    <cellStyle name="Percent 69 2 2 2 3 2" xfId="15069" xr:uid="{00000000-0005-0000-0000-0000F33A0000}"/>
    <cellStyle name="Percent 69 2 2 2 4" xfId="15070" xr:uid="{00000000-0005-0000-0000-0000F43A0000}"/>
    <cellStyle name="Percent 69 2 2 3" xfId="15071" xr:uid="{00000000-0005-0000-0000-0000F53A0000}"/>
    <cellStyle name="Percent 69 2 2 3 2" xfId="15072" xr:uid="{00000000-0005-0000-0000-0000F63A0000}"/>
    <cellStyle name="Percent 69 2 2 3 2 2" xfId="15073" xr:uid="{00000000-0005-0000-0000-0000F73A0000}"/>
    <cellStyle name="Percent 69 2 2 3 3" xfId="15074" xr:uid="{00000000-0005-0000-0000-0000F83A0000}"/>
    <cellStyle name="Percent 69 2 2 4" xfId="15075" xr:uid="{00000000-0005-0000-0000-0000F93A0000}"/>
    <cellStyle name="Percent 69 2 2 4 2" xfId="15076" xr:uid="{00000000-0005-0000-0000-0000FA3A0000}"/>
    <cellStyle name="Percent 69 2 2 5" xfId="15077" xr:uid="{00000000-0005-0000-0000-0000FB3A0000}"/>
    <cellStyle name="Percent 69 2 2 5 2" xfId="15078" xr:uid="{00000000-0005-0000-0000-0000FC3A0000}"/>
    <cellStyle name="Percent 69 2 2 6" xfId="15079" xr:uid="{00000000-0005-0000-0000-0000FD3A0000}"/>
    <cellStyle name="Percent 69 2 3" xfId="15080" xr:uid="{00000000-0005-0000-0000-0000FE3A0000}"/>
    <cellStyle name="Percent 69 2 3 2" xfId="15081" xr:uid="{00000000-0005-0000-0000-0000FF3A0000}"/>
    <cellStyle name="Percent 69 2 3 2 2" xfId="15082" xr:uid="{00000000-0005-0000-0000-0000003B0000}"/>
    <cellStyle name="Percent 69 2 3 3" xfId="15083" xr:uid="{00000000-0005-0000-0000-0000013B0000}"/>
    <cellStyle name="Percent 69 2 3 3 2" xfId="15084" xr:uid="{00000000-0005-0000-0000-0000023B0000}"/>
    <cellStyle name="Percent 69 2 3 4" xfId="15085" xr:uid="{00000000-0005-0000-0000-0000033B0000}"/>
    <cellStyle name="Percent 69 2 4" xfId="15086" xr:uid="{00000000-0005-0000-0000-0000043B0000}"/>
    <cellStyle name="Percent 69 2 4 2" xfId="15087" xr:uid="{00000000-0005-0000-0000-0000053B0000}"/>
    <cellStyle name="Percent 69 2 4 2 2" xfId="15088" xr:uid="{00000000-0005-0000-0000-0000063B0000}"/>
    <cellStyle name="Percent 69 2 4 3" xfId="15089" xr:uid="{00000000-0005-0000-0000-0000073B0000}"/>
    <cellStyle name="Percent 69 2 5" xfId="15090" xr:uid="{00000000-0005-0000-0000-0000083B0000}"/>
    <cellStyle name="Percent 69 2 5 2" xfId="15091" xr:uid="{00000000-0005-0000-0000-0000093B0000}"/>
    <cellStyle name="Percent 69 2 6" xfId="15092" xr:uid="{00000000-0005-0000-0000-00000A3B0000}"/>
    <cellStyle name="Percent 69 2 6 2" xfId="15093" xr:uid="{00000000-0005-0000-0000-00000B3B0000}"/>
    <cellStyle name="Percent 69 2 7" xfId="15094" xr:uid="{00000000-0005-0000-0000-00000C3B0000}"/>
    <cellStyle name="Percent 69 3" xfId="15095" xr:uid="{00000000-0005-0000-0000-00000D3B0000}"/>
    <cellStyle name="Percent 69 3 2" xfId="15096" xr:uid="{00000000-0005-0000-0000-00000E3B0000}"/>
    <cellStyle name="Percent 69 3 2 2" xfId="15097" xr:uid="{00000000-0005-0000-0000-00000F3B0000}"/>
    <cellStyle name="Percent 69 3 2 2 2" xfId="15098" xr:uid="{00000000-0005-0000-0000-0000103B0000}"/>
    <cellStyle name="Percent 69 3 2 3" xfId="15099" xr:uid="{00000000-0005-0000-0000-0000113B0000}"/>
    <cellStyle name="Percent 69 3 2 3 2" xfId="15100" xr:uid="{00000000-0005-0000-0000-0000123B0000}"/>
    <cellStyle name="Percent 69 3 2 4" xfId="15101" xr:uid="{00000000-0005-0000-0000-0000133B0000}"/>
    <cellStyle name="Percent 69 3 3" xfId="15102" xr:uid="{00000000-0005-0000-0000-0000143B0000}"/>
    <cellStyle name="Percent 69 3 3 2" xfId="15103" xr:uid="{00000000-0005-0000-0000-0000153B0000}"/>
    <cellStyle name="Percent 69 3 3 2 2" xfId="15104" xr:uid="{00000000-0005-0000-0000-0000163B0000}"/>
    <cellStyle name="Percent 69 3 3 3" xfId="15105" xr:uid="{00000000-0005-0000-0000-0000173B0000}"/>
    <cellStyle name="Percent 69 3 4" xfId="15106" xr:uid="{00000000-0005-0000-0000-0000183B0000}"/>
    <cellStyle name="Percent 69 3 4 2" xfId="15107" xr:uid="{00000000-0005-0000-0000-0000193B0000}"/>
    <cellStyle name="Percent 69 3 5" xfId="15108" xr:uid="{00000000-0005-0000-0000-00001A3B0000}"/>
    <cellStyle name="Percent 69 3 5 2" xfId="15109" xr:uid="{00000000-0005-0000-0000-00001B3B0000}"/>
    <cellStyle name="Percent 69 3 6" xfId="15110" xr:uid="{00000000-0005-0000-0000-00001C3B0000}"/>
    <cellStyle name="Percent 69 4" xfId="15111" xr:uid="{00000000-0005-0000-0000-00001D3B0000}"/>
    <cellStyle name="Percent 69 4 2" xfId="15112" xr:uid="{00000000-0005-0000-0000-00001E3B0000}"/>
    <cellStyle name="Percent 69 4 2 2" xfId="15113" xr:uid="{00000000-0005-0000-0000-00001F3B0000}"/>
    <cellStyle name="Percent 69 4 3" xfId="15114" xr:uid="{00000000-0005-0000-0000-0000203B0000}"/>
    <cellStyle name="Percent 69 4 3 2" xfId="15115" xr:uid="{00000000-0005-0000-0000-0000213B0000}"/>
    <cellStyle name="Percent 69 4 4" xfId="15116" xr:uid="{00000000-0005-0000-0000-0000223B0000}"/>
    <cellStyle name="Percent 69 5" xfId="15117" xr:uid="{00000000-0005-0000-0000-0000233B0000}"/>
    <cellStyle name="Percent 69 5 2" xfId="15118" xr:uid="{00000000-0005-0000-0000-0000243B0000}"/>
    <cellStyle name="Percent 69 5 2 2" xfId="15119" xr:uid="{00000000-0005-0000-0000-0000253B0000}"/>
    <cellStyle name="Percent 69 5 3" xfId="15120" xr:uid="{00000000-0005-0000-0000-0000263B0000}"/>
    <cellStyle name="Percent 69 6" xfId="15121" xr:uid="{00000000-0005-0000-0000-0000273B0000}"/>
    <cellStyle name="Percent 69 6 2" xfId="15122" xr:uid="{00000000-0005-0000-0000-0000283B0000}"/>
    <cellStyle name="Percent 69 7" xfId="15123" xr:uid="{00000000-0005-0000-0000-0000293B0000}"/>
    <cellStyle name="Percent 69 7 2" xfId="15124" xr:uid="{00000000-0005-0000-0000-00002A3B0000}"/>
    <cellStyle name="Percent 69 8" xfId="15125" xr:uid="{00000000-0005-0000-0000-00002B3B0000}"/>
    <cellStyle name="Percent 7" xfId="246" xr:uid="{00000000-0005-0000-0000-00002C3B0000}"/>
    <cellStyle name="Percent 7 2" xfId="15126" xr:uid="{00000000-0005-0000-0000-00002D3B0000}"/>
    <cellStyle name="Percent 7 2 2" xfId="15127" xr:uid="{00000000-0005-0000-0000-00002E3B0000}"/>
    <cellStyle name="Percent 7 2 2 2" xfId="15128" xr:uid="{00000000-0005-0000-0000-00002F3B0000}"/>
    <cellStyle name="Percent 7 3" xfId="15129" xr:uid="{00000000-0005-0000-0000-0000303B0000}"/>
    <cellStyle name="Percent 7 3 2" xfId="15130" xr:uid="{00000000-0005-0000-0000-0000313B0000}"/>
    <cellStyle name="Percent 7 4" xfId="15131" xr:uid="{00000000-0005-0000-0000-0000323B0000}"/>
    <cellStyle name="Percent 7 4 2" xfId="15132" xr:uid="{00000000-0005-0000-0000-0000333B0000}"/>
    <cellStyle name="Percent 7 5" xfId="15133" xr:uid="{00000000-0005-0000-0000-0000343B0000}"/>
    <cellStyle name="Percent 70" xfId="15134" xr:uid="{00000000-0005-0000-0000-0000353B0000}"/>
    <cellStyle name="Percent 70 2" xfId="15135" xr:uid="{00000000-0005-0000-0000-0000363B0000}"/>
    <cellStyle name="Percent 70 2 2" xfId="15136" xr:uid="{00000000-0005-0000-0000-0000373B0000}"/>
    <cellStyle name="Percent 70 2 2 2" xfId="15137" xr:uid="{00000000-0005-0000-0000-0000383B0000}"/>
    <cellStyle name="Percent 70 2 2 2 2" xfId="15138" xr:uid="{00000000-0005-0000-0000-0000393B0000}"/>
    <cellStyle name="Percent 70 2 2 2 2 2" xfId="15139" xr:uid="{00000000-0005-0000-0000-00003A3B0000}"/>
    <cellStyle name="Percent 70 2 2 2 3" xfId="15140" xr:uid="{00000000-0005-0000-0000-00003B3B0000}"/>
    <cellStyle name="Percent 70 2 2 2 3 2" xfId="15141" xr:uid="{00000000-0005-0000-0000-00003C3B0000}"/>
    <cellStyle name="Percent 70 2 2 2 4" xfId="15142" xr:uid="{00000000-0005-0000-0000-00003D3B0000}"/>
    <cellStyle name="Percent 70 2 2 3" xfId="15143" xr:uid="{00000000-0005-0000-0000-00003E3B0000}"/>
    <cellStyle name="Percent 70 2 2 3 2" xfId="15144" xr:uid="{00000000-0005-0000-0000-00003F3B0000}"/>
    <cellStyle name="Percent 70 2 2 3 2 2" xfId="15145" xr:uid="{00000000-0005-0000-0000-0000403B0000}"/>
    <cellStyle name="Percent 70 2 2 3 3" xfId="15146" xr:uid="{00000000-0005-0000-0000-0000413B0000}"/>
    <cellStyle name="Percent 70 2 2 4" xfId="15147" xr:uid="{00000000-0005-0000-0000-0000423B0000}"/>
    <cellStyle name="Percent 70 2 2 4 2" xfId="15148" xr:uid="{00000000-0005-0000-0000-0000433B0000}"/>
    <cellStyle name="Percent 70 2 2 5" xfId="15149" xr:uid="{00000000-0005-0000-0000-0000443B0000}"/>
    <cellStyle name="Percent 70 2 2 5 2" xfId="15150" xr:uid="{00000000-0005-0000-0000-0000453B0000}"/>
    <cellStyle name="Percent 70 2 2 6" xfId="15151" xr:uid="{00000000-0005-0000-0000-0000463B0000}"/>
    <cellStyle name="Percent 70 2 3" xfId="15152" xr:uid="{00000000-0005-0000-0000-0000473B0000}"/>
    <cellStyle name="Percent 70 2 3 2" xfId="15153" xr:uid="{00000000-0005-0000-0000-0000483B0000}"/>
    <cellStyle name="Percent 70 2 3 2 2" xfId="15154" xr:uid="{00000000-0005-0000-0000-0000493B0000}"/>
    <cellStyle name="Percent 70 2 3 3" xfId="15155" xr:uid="{00000000-0005-0000-0000-00004A3B0000}"/>
    <cellStyle name="Percent 70 2 3 3 2" xfId="15156" xr:uid="{00000000-0005-0000-0000-00004B3B0000}"/>
    <cellStyle name="Percent 70 2 3 4" xfId="15157" xr:uid="{00000000-0005-0000-0000-00004C3B0000}"/>
    <cellStyle name="Percent 70 2 4" xfId="15158" xr:uid="{00000000-0005-0000-0000-00004D3B0000}"/>
    <cellStyle name="Percent 70 2 4 2" xfId="15159" xr:uid="{00000000-0005-0000-0000-00004E3B0000}"/>
    <cellStyle name="Percent 70 2 4 2 2" xfId="15160" xr:uid="{00000000-0005-0000-0000-00004F3B0000}"/>
    <cellStyle name="Percent 70 2 4 3" xfId="15161" xr:uid="{00000000-0005-0000-0000-0000503B0000}"/>
    <cellStyle name="Percent 70 2 5" xfId="15162" xr:uid="{00000000-0005-0000-0000-0000513B0000}"/>
    <cellStyle name="Percent 70 2 5 2" xfId="15163" xr:uid="{00000000-0005-0000-0000-0000523B0000}"/>
    <cellStyle name="Percent 70 2 6" xfId="15164" xr:uid="{00000000-0005-0000-0000-0000533B0000}"/>
    <cellStyle name="Percent 70 2 6 2" xfId="15165" xr:uid="{00000000-0005-0000-0000-0000543B0000}"/>
    <cellStyle name="Percent 70 2 7" xfId="15166" xr:uid="{00000000-0005-0000-0000-0000553B0000}"/>
    <cellStyle name="Percent 70 3" xfId="15167" xr:uid="{00000000-0005-0000-0000-0000563B0000}"/>
    <cellStyle name="Percent 70 3 2" xfId="15168" xr:uid="{00000000-0005-0000-0000-0000573B0000}"/>
    <cellStyle name="Percent 70 3 2 2" xfId="15169" xr:uid="{00000000-0005-0000-0000-0000583B0000}"/>
    <cellStyle name="Percent 70 3 2 2 2" xfId="15170" xr:uid="{00000000-0005-0000-0000-0000593B0000}"/>
    <cellStyle name="Percent 70 3 2 3" xfId="15171" xr:uid="{00000000-0005-0000-0000-00005A3B0000}"/>
    <cellStyle name="Percent 70 3 2 3 2" xfId="15172" xr:uid="{00000000-0005-0000-0000-00005B3B0000}"/>
    <cellStyle name="Percent 70 3 2 4" xfId="15173" xr:uid="{00000000-0005-0000-0000-00005C3B0000}"/>
    <cellStyle name="Percent 70 3 3" xfId="15174" xr:uid="{00000000-0005-0000-0000-00005D3B0000}"/>
    <cellStyle name="Percent 70 3 3 2" xfId="15175" xr:uid="{00000000-0005-0000-0000-00005E3B0000}"/>
    <cellStyle name="Percent 70 3 3 2 2" xfId="15176" xr:uid="{00000000-0005-0000-0000-00005F3B0000}"/>
    <cellStyle name="Percent 70 3 3 3" xfId="15177" xr:uid="{00000000-0005-0000-0000-0000603B0000}"/>
    <cellStyle name="Percent 70 3 4" xfId="15178" xr:uid="{00000000-0005-0000-0000-0000613B0000}"/>
    <cellStyle name="Percent 70 3 4 2" xfId="15179" xr:uid="{00000000-0005-0000-0000-0000623B0000}"/>
    <cellStyle name="Percent 70 3 5" xfId="15180" xr:uid="{00000000-0005-0000-0000-0000633B0000}"/>
    <cellStyle name="Percent 70 3 5 2" xfId="15181" xr:uid="{00000000-0005-0000-0000-0000643B0000}"/>
    <cellStyle name="Percent 70 3 6" xfId="15182" xr:uid="{00000000-0005-0000-0000-0000653B0000}"/>
    <cellStyle name="Percent 70 4" xfId="15183" xr:uid="{00000000-0005-0000-0000-0000663B0000}"/>
    <cellStyle name="Percent 70 4 2" xfId="15184" xr:uid="{00000000-0005-0000-0000-0000673B0000}"/>
    <cellStyle name="Percent 70 4 2 2" xfId="15185" xr:uid="{00000000-0005-0000-0000-0000683B0000}"/>
    <cellStyle name="Percent 70 4 3" xfId="15186" xr:uid="{00000000-0005-0000-0000-0000693B0000}"/>
    <cellStyle name="Percent 70 4 3 2" xfId="15187" xr:uid="{00000000-0005-0000-0000-00006A3B0000}"/>
    <cellStyle name="Percent 70 4 4" xfId="15188" xr:uid="{00000000-0005-0000-0000-00006B3B0000}"/>
    <cellStyle name="Percent 70 5" xfId="15189" xr:uid="{00000000-0005-0000-0000-00006C3B0000}"/>
    <cellStyle name="Percent 70 5 2" xfId="15190" xr:uid="{00000000-0005-0000-0000-00006D3B0000}"/>
    <cellStyle name="Percent 70 5 2 2" xfId="15191" xr:uid="{00000000-0005-0000-0000-00006E3B0000}"/>
    <cellStyle name="Percent 70 5 3" xfId="15192" xr:uid="{00000000-0005-0000-0000-00006F3B0000}"/>
    <cellStyle name="Percent 70 6" xfId="15193" xr:uid="{00000000-0005-0000-0000-0000703B0000}"/>
    <cellStyle name="Percent 70 6 2" xfId="15194" xr:uid="{00000000-0005-0000-0000-0000713B0000}"/>
    <cellStyle name="Percent 70 7" xfId="15195" xr:uid="{00000000-0005-0000-0000-0000723B0000}"/>
    <cellStyle name="Percent 70 7 2" xfId="15196" xr:uid="{00000000-0005-0000-0000-0000733B0000}"/>
    <cellStyle name="Percent 70 8" xfId="15197" xr:uid="{00000000-0005-0000-0000-0000743B0000}"/>
    <cellStyle name="Percent 71" xfId="15198" xr:uid="{00000000-0005-0000-0000-0000753B0000}"/>
    <cellStyle name="Percent 71 2" xfId="15199" xr:uid="{00000000-0005-0000-0000-0000763B0000}"/>
    <cellStyle name="Percent 71 2 2" xfId="15200" xr:uid="{00000000-0005-0000-0000-0000773B0000}"/>
    <cellStyle name="Percent 71 2 2 2" xfId="15201" xr:uid="{00000000-0005-0000-0000-0000783B0000}"/>
    <cellStyle name="Percent 71 2 2 2 2" xfId="15202" xr:uid="{00000000-0005-0000-0000-0000793B0000}"/>
    <cellStyle name="Percent 71 2 2 2 2 2" xfId="15203" xr:uid="{00000000-0005-0000-0000-00007A3B0000}"/>
    <cellStyle name="Percent 71 2 2 2 3" xfId="15204" xr:uid="{00000000-0005-0000-0000-00007B3B0000}"/>
    <cellStyle name="Percent 71 2 2 2 3 2" xfId="15205" xr:uid="{00000000-0005-0000-0000-00007C3B0000}"/>
    <cellStyle name="Percent 71 2 2 2 4" xfId="15206" xr:uid="{00000000-0005-0000-0000-00007D3B0000}"/>
    <cellStyle name="Percent 71 2 2 3" xfId="15207" xr:uid="{00000000-0005-0000-0000-00007E3B0000}"/>
    <cellStyle name="Percent 71 2 2 3 2" xfId="15208" xr:uid="{00000000-0005-0000-0000-00007F3B0000}"/>
    <cellStyle name="Percent 71 2 2 3 2 2" xfId="15209" xr:uid="{00000000-0005-0000-0000-0000803B0000}"/>
    <cellStyle name="Percent 71 2 2 3 3" xfId="15210" xr:uid="{00000000-0005-0000-0000-0000813B0000}"/>
    <cellStyle name="Percent 71 2 2 4" xfId="15211" xr:uid="{00000000-0005-0000-0000-0000823B0000}"/>
    <cellStyle name="Percent 71 2 2 4 2" xfId="15212" xr:uid="{00000000-0005-0000-0000-0000833B0000}"/>
    <cellStyle name="Percent 71 2 2 5" xfId="15213" xr:uid="{00000000-0005-0000-0000-0000843B0000}"/>
    <cellStyle name="Percent 71 2 2 5 2" xfId="15214" xr:uid="{00000000-0005-0000-0000-0000853B0000}"/>
    <cellStyle name="Percent 71 2 2 6" xfId="15215" xr:uid="{00000000-0005-0000-0000-0000863B0000}"/>
    <cellStyle name="Percent 71 2 3" xfId="15216" xr:uid="{00000000-0005-0000-0000-0000873B0000}"/>
    <cellStyle name="Percent 71 2 3 2" xfId="15217" xr:uid="{00000000-0005-0000-0000-0000883B0000}"/>
    <cellStyle name="Percent 71 2 3 2 2" xfId="15218" xr:uid="{00000000-0005-0000-0000-0000893B0000}"/>
    <cellStyle name="Percent 71 2 3 3" xfId="15219" xr:uid="{00000000-0005-0000-0000-00008A3B0000}"/>
    <cellStyle name="Percent 71 2 3 3 2" xfId="15220" xr:uid="{00000000-0005-0000-0000-00008B3B0000}"/>
    <cellStyle name="Percent 71 2 3 4" xfId="15221" xr:uid="{00000000-0005-0000-0000-00008C3B0000}"/>
    <cellStyle name="Percent 71 2 4" xfId="15222" xr:uid="{00000000-0005-0000-0000-00008D3B0000}"/>
    <cellStyle name="Percent 71 2 4 2" xfId="15223" xr:uid="{00000000-0005-0000-0000-00008E3B0000}"/>
    <cellStyle name="Percent 71 2 4 2 2" xfId="15224" xr:uid="{00000000-0005-0000-0000-00008F3B0000}"/>
    <cellStyle name="Percent 71 2 4 3" xfId="15225" xr:uid="{00000000-0005-0000-0000-0000903B0000}"/>
    <cellStyle name="Percent 71 2 5" xfId="15226" xr:uid="{00000000-0005-0000-0000-0000913B0000}"/>
    <cellStyle name="Percent 71 2 5 2" xfId="15227" xr:uid="{00000000-0005-0000-0000-0000923B0000}"/>
    <cellStyle name="Percent 71 2 6" xfId="15228" xr:uid="{00000000-0005-0000-0000-0000933B0000}"/>
    <cellStyle name="Percent 71 2 6 2" xfId="15229" xr:uid="{00000000-0005-0000-0000-0000943B0000}"/>
    <cellStyle name="Percent 71 2 7" xfId="15230" xr:uid="{00000000-0005-0000-0000-0000953B0000}"/>
    <cellStyle name="Percent 71 3" xfId="15231" xr:uid="{00000000-0005-0000-0000-0000963B0000}"/>
    <cellStyle name="Percent 71 3 2" xfId="15232" xr:uid="{00000000-0005-0000-0000-0000973B0000}"/>
    <cellStyle name="Percent 71 3 2 2" xfId="15233" xr:uid="{00000000-0005-0000-0000-0000983B0000}"/>
    <cellStyle name="Percent 71 3 2 2 2" xfId="15234" xr:uid="{00000000-0005-0000-0000-0000993B0000}"/>
    <cellStyle name="Percent 71 3 2 3" xfId="15235" xr:uid="{00000000-0005-0000-0000-00009A3B0000}"/>
    <cellStyle name="Percent 71 3 2 3 2" xfId="15236" xr:uid="{00000000-0005-0000-0000-00009B3B0000}"/>
    <cellStyle name="Percent 71 3 2 4" xfId="15237" xr:uid="{00000000-0005-0000-0000-00009C3B0000}"/>
    <cellStyle name="Percent 71 3 3" xfId="15238" xr:uid="{00000000-0005-0000-0000-00009D3B0000}"/>
    <cellStyle name="Percent 71 3 3 2" xfId="15239" xr:uid="{00000000-0005-0000-0000-00009E3B0000}"/>
    <cellStyle name="Percent 71 3 3 2 2" xfId="15240" xr:uid="{00000000-0005-0000-0000-00009F3B0000}"/>
    <cellStyle name="Percent 71 3 3 3" xfId="15241" xr:uid="{00000000-0005-0000-0000-0000A03B0000}"/>
    <cellStyle name="Percent 71 3 4" xfId="15242" xr:uid="{00000000-0005-0000-0000-0000A13B0000}"/>
    <cellStyle name="Percent 71 3 4 2" xfId="15243" xr:uid="{00000000-0005-0000-0000-0000A23B0000}"/>
    <cellStyle name="Percent 71 3 5" xfId="15244" xr:uid="{00000000-0005-0000-0000-0000A33B0000}"/>
    <cellStyle name="Percent 71 3 5 2" xfId="15245" xr:uid="{00000000-0005-0000-0000-0000A43B0000}"/>
    <cellStyle name="Percent 71 3 6" xfId="15246" xr:uid="{00000000-0005-0000-0000-0000A53B0000}"/>
    <cellStyle name="Percent 71 4" xfId="15247" xr:uid="{00000000-0005-0000-0000-0000A63B0000}"/>
    <cellStyle name="Percent 71 4 2" xfId="15248" xr:uid="{00000000-0005-0000-0000-0000A73B0000}"/>
    <cellStyle name="Percent 71 4 2 2" xfId="15249" xr:uid="{00000000-0005-0000-0000-0000A83B0000}"/>
    <cellStyle name="Percent 71 4 3" xfId="15250" xr:uid="{00000000-0005-0000-0000-0000A93B0000}"/>
    <cellStyle name="Percent 71 4 3 2" xfId="15251" xr:uid="{00000000-0005-0000-0000-0000AA3B0000}"/>
    <cellStyle name="Percent 71 4 4" xfId="15252" xr:uid="{00000000-0005-0000-0000-0000AB3B0000}"/>
    <cellStyle name="Percent 71 5" xfId="15253" xr:uid="{00000000-0005-0000-0000-0000AC3B0000}"/>
    <cellStyle name="Percent 71 5 2" xfId="15254" xr:uid="{00000000-0005-0000-0000-0000AD3B0000}"/>
    <cellStyle name="Percent 71 5 2 2" xfId="15255" xr:uid="{00000000-0005-0000-0000-0000AE3B0000}"/>
    <cellStyle name="Percent 71 5 3" xfId="15256" xr:uid="{00000000-0005-0000-0000-0000AF3B0000}"/>
    <cellStyle name="Percent 71 6" xfId="15257" xr:uid="{00000000-0005-0000-0000-0000B03B0000}"/>
    <cellStyle name="Percent 71 6 2" xfId="15258" xr:uid="{00000000-0005-0000-0000-0000B13B0000}"/>
    <cellStyle name="Percent 71 7" xfId="15259" xr:uid="{00000000-0005-0000-0000-0000B23B0000}"/>
    <cellStyle name="Percent 71 7 2" xfId="15260" xr:uid="{00000000-0005-0000-0000-0000B33B0000}"/>
    <cellStyle name="Percent 71 8" xfId="15261" xr:uid="{00000000-0005-0000-0000-0000B43B0000}"/>
    <cellStyle name="Percent 72" xfId="15262" xr:uid="{00000000-0005-0000-0000-0000B53B0000}"/>
    <cellStyle name="Percent 72 2" xfId="15263" xr:uid="{00000000-0005-0000-0000-0000B63B0000}"/>
    <cellStyle name="Percent 72 2 2" xfId="15264" xr:uid="{00000000-0005-0000-0000-0000B73B0000}"/>
    <cellStyle name="Percent 72 2 2 2" xfId="15265" xr:uid="{00000000-0005-0000-0000-0000B83B0000}"/>
    <cellStyle name="Percent 72 2 2 2 2" xfId="15266" xr:uid="{00000000-0005-0000-0000-0000B93B0000}"/>
    <cellStyle name="Percent 72 2 2 2 2 2" xfId="15267" xr:uid="{00000000-0005-0000-0000-0000BA3B0000}"/>
    <cellStyle name="Percent 72 2 2 2 3" xfId="15268" xr:uid="{00000000-0005-0000-0000-0000BB3B0000}"/>
    <cellStyle name="Percent 72 2 2 2 3 2" xfId="15269" xr:uid="{00000000-0005-0000-0000-0000BC3B0000}"/>
    <cellStyle name="Percent 72 2 2 2 4" xfId="15270" xr:uid="{00000000-0005-0000-0000-0000BD3B0000}"/>
    <cellStyle name="Percent 72 2 2 3" xfId="15271" xr:uid="{00000000-0005-0000-0000-0000BE3B0000}"/>
    <cellStyle name="Percent 72 2 2 3 2" xfId="15272" xr:uid="{00000000-0005-0000-0000-0000BF3B0000}"/>
    <cellStyle name="Percent 72 2 2 3 2 2" xfId="15273" xr:uid="{00000000-0005-0000-0000-0000C03B0000}"/>
    <cellStyle name="Percent 72 2 2 3 3" xfId="15274" xr:uid="{00000000-0005-0000-0000-0000C13B0000}"/>
    <cellStyle name="Percent 72 2 2 4" xfId="15275" xr:uid="{00000000-0005-0000-0000-0000C23B0000}"/>
    <cellStyle name="Percent 72 2 2 4 2" xfId="15276" xr:uid="{00000000-0005-0000-0000-0000C33B0000}"/>
    <cellStyle name="Percent 72 2 2 5" xfId="15277" xr:uid="{00000000-0005-0000-0000-0000C43B0000}"/>
    <cellStyle name="Percent 72 2 2 5 2" xfId="15278" xr:uid="{00000000-0005-0000-0000-0000C53B0000}"/>
    <cellStyle name="Percent 72 2 2 6" xfId="15279" xr:uid="{00000000-0005-0000-0000-0000C63B0000}"/>
    <cellStyle name="Percent 72 2 3" xfId="15280" xr:uid="{00000000-0005-0000-0000-0000C73B0000}"/>
    <cellStyle name="Percent 72 2 3 2" xfId="15281" xr:uid="{00000000-0005-0000-0000-0000C83B0000}"/>
    <cellStyle name="Percent 72 2 3 2 2" xfId="15282" xr:uid="{00000000-0005-0000-0000-0000C93B0000}"/>
    <cellStyle name="Percent 72 2 3 3" xfId="15283" xr:uid="{00000000-0005-0000-0000-0000CA3B0000}"/>
    <cellStyle name="Percent 72 2 3 3 2" xfId="15284" xr:uid="{00000000-0005-0000-0000-0000CB3B0000}"/>
    <cellStyle name="Percent 72 2 3 4" xfId="15285" xr:uid="{00000000-0005-0000-0000-0000CC3B0000}"/>
    <cellStyle name="Percent 72 2 4" xfId="15286" xr:uid="{00000000-0005-0000-0000-0000CD3B0000}"/>
    <cellStyle name="Percent 72 2 4 2" xfId="15287" xr:uid="{00000000-0005-0000-0000-0000CE3B0000}"/>
    <cellStyle name="Percent 72 2 4 2 2" xfId="15288" xr:uid="{00000000-0005-0000-0000-0000CF3B0000}"/>
    <cellStyle name="Percent 72 2 4 3" xfId="15289" xr:uid="{00000000-0005-0000-0000-0000D03B0000}"/>
    <cellStyle name="Percent 72 2 5" xfId="15290" xr:uid="{00000000-0005-0000-0000-0000D13B0000}"/>
    <cellStyle name="Percent 72 2 5 2" xfId="15291" xr:uid="{00000000-0005-0000-0000-0000D23B0000}"/>
    <cellStyle name="Percent 72 2 6" xfId="15292" xr:uid="{00000000-0005-0000-0000-0000D33B0000}"/>
    <cellStyle name="Percent 72 2 6 2" xfId="15293" xr:uid="{00000000-0005-0000-0000-0000D43B0000}"/>
    <cellStyle name="Percent 72 2 7" xfId="15294" xr:uid="{00000000-0005-0000-0000-0000D53B0000}"/>
    <cellStyle name="Percent 72 3" xfId="15295" xr:uid="{00000000-0005-0000-0000-0000D63B0000}"/>
    <cellStyle name="Percent 72 3 2" xfId="15296" xr:uid="{00000000-0005-0000-0000-0000D73B0000}"/>
    <cellStyle name="Percent 72 3 2 2" xfId="15297" xr:uid="{00000000-0005-0000-0000-0000D83B0000}"/>
    <cellStyle name="Percent 72 3 2 2 2" xfId="15298" xr:uid="{00000000-0005-0000-0000-0000D93B0000}"/>
    <cellStyle name="Percent 72 3 2 3" xfId="15299" xr:uid="{00000000-0005-0000-0000-0000DA3B0000}"/>
    <cellStyle name="Percent 72 3 2 3 2" xfId="15300" xr:uid="{00000000-0005-0000-0000-0000DB3B0000}"/>
    <cellStyle name="Percent 72 3 2 4" xfId="15301" xr:uid="{00000000-0005-0000-0000-0000DC3B0000}"/>
    <cellStyle name="Percent 72 3 3" xfId="15302" xr:uid="{00000000-0005-0000-0000-0000DD3B0000}"/>
    <cellStyle name="Percent 72 3 3 2" xfId="15303" xr:uid="{00000000-0005-0000-0000-0000DE3B0000}"/>
    <cellStyle name="Percent 72 3 3 2 2" xfId="15304" xr:uid="{00000000-0005-0000-0000-0000DF3B0000}"/>
    <cellStyle name="Percent 72 3 3 3" xfId="15305" xr:uid="{00000000-0005-0000-0000-0000E03B0000}"/>
    <cellStyle name="Percent 72 3 4" xfId="15306" xr:uid="{00000000-0005-0000-0000-0000E13B0000}"/>
    <cellStyle name="Percent 72 3 4 2" xfId="15307" xr:uid="{00000000-0005-0000-0000-0000E23B0000}"/>
    <cellStyle name="Percent 72 3 5" xfId="15308" xr:uid="{00000000-0005-0000-0000-0000E33B0000}"/>
    <cellStyle name="Percent 72 3 5 2" xfId="15309" xr:uid="{00000000-0005-0000-0000-0000E43B0000}"/>
    <cellStyle name="Percent 72 3 6" xfId="15310" xr:uid="{00000000-0005-0000-0000-0000E53B0000}"/>
    <cellStyle name="Percent 72 4" xfId="15311" xr:uid="{00000000-0005-0000-0000-0000E63B0000}"/>
    <cellStyle name="Percent 72 4 2" xfId="15312" xr:uid="{00000000-0005-0000-0000-0000E73B0000}"/>
    <cellStyle name="Percent 72 4 2 2" xfId="15313" xr:uid="{00000000-0005-0000-0000-0000E83B0000}"/>
    <cellStyle name="Percent 72 4 3" xfId="15314" xr:uid="{00000000-0005-0000-0000-0000E93B0000}"/>
    <cellStyle name="Percent 72 4 3 2" xfId="15315" xr:uid="{00000000-0005-0000-0000-0000EA3B0000}"/>
    <cellStyle name="Percent 72 4 4" xfId="15316" xr:uid="{00000000-0005-0000-0000-0000EB3B0000}"/>
    <cellStyle name="Percent 72 5" xfId="15317" xr:uid="{00000000-0005-0000-0000-0000EC3B0000}"/>
    <cellStyle name="Percent 72 5 2" xfId="15318" xr:uid="{00000000-0005-0000-0000-0000ED3B0000}"/>
    <cellStyle name="Percent 72 5 2 2" xfId="15319" xr:uid="{00000000-0005-0000-0000-0000EE3B0000}"/>
    <cellStyle name="Percent 72 5 3" xfId="15320" xr:uid="{00000000-0005-0000-0000-0000EF3B0000}"/>
    <cellStyle name="Percent 72 6" xfId="15321" xr:uid="{00000000-0005-0000-0000-0000F03B0000}"/>
    <cellStyle name="Percent 72 6 2" xfId="15322" xr:uid="{00000000-0005-0000-0000-0000F13B0000}"/>
    <cellStyle name="Percent 72 7" xfId="15323" xr:uid="{00000000-0005-0000-0000-0000F23B0000}"/>
    <cellStyle name="Percent 72 7 2" xfId="15324" xr:uid="{00000000-0005-0000-0000-0000F33B0000}"/>
    <cellStyle name="Percent 72 8" xfId="15325" xr:uid="{00000000-0005-0000-0000-0000F43B0000}"/>
    <cellStyle name="Percent 73" xfId="15326" xr:uid="{00000000-0005-0000-0000-0000F53B0000}"/>
    <cellStyle name="Percent 73 2" xfId="15327" xr:uid="{00000000-0005-0000-0000-0000F63B0000}"/>
    <cellStyle name="Percent 73 2 2" xfId="15328" xr:uid="{00000000-0005-0000-0000-0000F73B0000}"/>
    <cellStyle name="Percent 73 2 2 2" xfId="15329" xr:uid="{00000000-0005-0000-0000-0000F83B0000}"/>
    <cellStyle name="Percent 73 2 2 2 2" xfId="15330" xr:uid="{00000000-0005-0000-0000-0000F93B0000}"/>
    <cellStyle name="Percent 73 2 2 2 2 2" xfId="15331" xr:uid="{00000000-0005-0000-0000-0000FA3B0000}"/>
    <cellStyle name="Percent 73 2 2 2 3" xfId="15332" xr:uid="{00000000-0005-0000-0000-0000FB3B0000}"/>
    <cellStyle name="Percent 73 2 2 2 3 2" xfId="15333" xr:uid="{00000000-0005-0000-0000-0000FC3B0000}"/>
    <cellStyle name="Percent 73 2 2 2 4" xfId="15334" xr:uid="{00000000-0005-0000-0000-0000FD3B0000}"/>
    <cellStyle name="Percent 73 2 2 3" xfId="15335" xr:uid="{00000000-0005-0000-0000-0000FE3B0000}"/>
    <cellStyle name="Percent 73 2 2 3 2" xfId="15336" xr:uid="{00000000-0005-0000-0000-0000FF3B0000}"/>
    <cellStyle name="Percent 73 2 2 3 2 2" xfId="15337" xr:uid="{00000000-0005-0000-0000-0000003C0000}"/>
    <cellStyle name="Percent 73 2 2 3 3" xfId="15338" xr:uid="{00000000-0005-0000-0000-0000013C0000}"/>
    <cellStyle name="Percent 73 2 2 4" xfId="15339" xr:uid="{00000000-0005-0000-0000-0000023C0000}"/>
    <cellStyle name="Percent 73 2 2 4 2" xfId="15340" xr:uid="{00000000-0005-0000-0000-0000033C0000}"/>
    <cellStyle name="Percent 73 2 2 5" xfId="15341" xr:uid="{00000000-0005-0000-0000-0000043C0000}"/>
    <cellStyle name="Percent 73 2 2 5 2" xfId="15342" xr:uid="{00000000-0005-0000-0000-0000053C0000}"/>
    <cellStyle name="Percent 73 2 2 6" xfId="15343" xr:uid="{00000000-0005-0000-0000-0000063C0000}"/>
    <cellStyle name="Percent 73 2 3" xfId="15344" xr:uid="{00000000-0005-0000-0000-0000073C0000}"/>
    <cellStyle name="Percent 73 2 3 2" xfId="15345" xr:uid="{00000000-0005-0000-0000-0000083C0000}"/>
    <cellStyle name="Percent 73 2 3 2 2" xfId="15346" xr:uid="{00000000-0005-0000-0000-0000093C0000}"/>
    <cellStyle name="Percent 73 2 3 3" xfId="15347" xr:uid="{00000000-0005-0000-0000-00000A3C0000}"/>
    <cellStyle name="Percent 73 2 3 3 2" xfId="15348" xr:uid="{00000000-0005-0000-0000-00000B3C0000}"/>
    <cellStyle name="Percent 73 2 3 4" xfId="15349" xr:uid="{00000000-0005-0000-0000-00000C3C0000}"/>
    <cellStyle name="Percent 73 2 4" xfId="15350" xr:uid="{00000000-0005-0000-0000-00000D3C0000}"/>
    <cellStyle name="Percent 73 2 4 2" xfId="15351" xr:uid="{00000000-0005-0000-0000-00000E3C0000}"/>
    <cellStyle name="Percent 73 2 4 2 2" xfId="15352" xr:uid="{00000000-0005-0000-0000-00000F3C0000}"/>
    <cellStyle name="Percent 73 2 4 3" xfId="15353" xr:uid="{00000000-0005-0000-0000-0000103C0000}"/>
    <cellStyle name="Percent 73 2 5" xfId="15354" xr:uid="{00000000-0005-0000-0000-0000113C0000}"/>
    <cellStyle name="Percent 73 2 5 2" xfId="15355" xr:uid="{00000000-0005-0000-0000-0000123C0000}"/>
    <cellStyle name="Percent 73 2 6" xfId="15356" xr:uid="{00000000-0005-0000-0000-0000133C0000}"/>
    <cellStyle name="Percent 73 2 6 2" xfId="15357" xr:uid="{00000000-0005-0000-0000-0000143C0000}"/>
    <cellStyle name="Percent 73 2 7" xfId="15358" xr:uid="{00000000-0005-0000-0000-0000153C0000}"/>
    <cellStyle name="Percent 73 3" xfId="15359" xr:uid="{00000000-0005-0000-0000-0000163C0000}"/>
    <cellStyle name="Percent 73 3 2" xfId="15360" xr:uid="{00000000-0005-0000-0000-0000173C0000}"/>
    <cellStyle name="Percent 73 3 2 2" xfId="15361" xr:uid="{00000000-0005-0000-0000-0000183C0000}"/>
    <cellStyle name="Percent 73 3 2 2 2" xfId="15362" xr:uid="{00000000-0005-0000-0000-0000193C0000}"/>
    <cellStyle name="Percent 73 3 2 3" xfId="15363" xr:uid="{00000000-0005-0000-0000-00001A3C0000}"/>
    <cellStyle name="Percent 73 3 2 3 2" xfId="15364" xr:uid="{00000000-0005-0000-0000-00001B3C0000}"/>
    <cellStyle name="Percent 73 3 2 4" xfId="15365" xr:uid="{00000000-0005-0000-0000-00001C3C0000}"/>
    <cellStyle name="Percent 73 3 3" xfId="15366" xr:uid="{00000000-0005-0000-0000-00001D3C0000}"/>
    <cellStyle name="Percent 73 3 3 2" xfId="15367" xr:uid="{00000000-0005-0000-0000-00001E3C0000}"/>
    <cellStyle name="Percent 73 3 3 2 2" xfId="15368" xr:uid="{00000000-0005-0000-0000-00001F3C0000}"/>
    <cellStyle name="Percent 73 3 3 3" xfId="15369" xr:uid="{00000000-0005-0000-0000-0000203C0000}"/>
    <cellStyle name="Percent 73 3 4" xfId="15370" xr:uid="{00000000-0005-0000-0000-0000213C0000}"/>
    <cellStyle name="Percent 73 3 4 2" xfId="15371" xr:uid="{00000000-0005-0000-0000-0000223C0000}"/>
    <cellStyle name="Percent 73 3 5" xfId="15372" xr:uid="{00000000-0005-0000-0000-0000233C0000}"/>
    <cellStyle name="Percent 73 3 5 2" xfId="15373" xr:uid="{00000000-0005-0000-0000-0000243C0000}"/>
    <cellStyle name="Percent 73 3 6" xfId="15374" xr:uid="{00000000-0005-0000-0000-0000253C0000}"/>
    <cellStyle name="Percent 73 4" xfId="15375" xr:uid="{00000000-0005-0000-0000-0000263C0000}"/>
    <cellStyle name="Percent 73 4 2" xfId="15376" xr:uid="{00000000-0005-0000-0000-0000273C0000}"/>
    <cellStyle name="Percent 73 4 2 2" xfId="15377" xr:uid="{00000000-0005-0000-0000-0000283C0000}"/>
    <cellStyle name="Percent 73 4 3" xfId="15378" xr:uid="{00000000-0005-0000-0000-0000293C0000}"/>
    <cellStyle name="Percent 73 4 3 2" xfId="15379" xr:uid="{00000000-0005-0000-0000-00002A3C0000}"/>
    <cellStyle name="Percent 73 4 4" xfId="15380" xr:uid="{00000000-0005-0000-0000-00002B3C0000}"/>
    <cellStyle name="Percent 73 5" xfId="15381" xr:uid="{00000000-0005-0000-0000-00002C3C0000}"/>
    <cellStyle name="Percent 73 5 2" xfId="15382" xr:uid="{00000000-0005-0000-0000-00002D3C0000}"/>
    <cellStyle name="Percent 73 5 2 2" xfId="15383" xr:uid="{00000000-0005-0000-0000-00002E3C0000}"/>
    <cellStyle name="Percent 73 5 3" xfId="15384" xr:uid="{00000000-0005-0000-0000-00002F3C0000}"/>
    <cellStyle name="Percent 73 6" xfId="15385" xr:uid="{00000000-0005-0000-0000-0000303C0000}"/>
    <cellStyle name="Percent 73 6 2" xfId="15386" xr:uid="{00000000-0005-0000-0000-0000313C0000}"/>
    <cellStyle name="Percent 73 7" xfId="15387" xr:uid="{00000000-0005-0000-0000-0000323C0000}"/>
    <cellStyle name="Percent 73 7 2" xfId="15388" xr:uid="{00000000-0005-0000-0000-0000333C0000}"/>
    <cellStyle name="Percent 73 8" xfId="15389" xr:uid="{00000000-0005-0000-0000-0000343C0000}"/>
    <cellStyle name="Percent 74" xfId="15390" xr:uid="{00000000-0005-0000-0000-0000353C0000}"/>
    <cellStyle name="Percent 74 2" xfId="15391" xr:uid="{00000000-0005-0000-0000-0000363C0000}"/>
    <cellStyle name="Percent 74 2 2" xfId="15392" xr:uid="{00000000-0005-0000-0000-0000373C0000}"/>
    <cellStyle name="Percent 74 2 2 2" xfId="15393" xr:uid="{00000000-0005-0000-0000-0000383C0000}"/>
    <cellStyle name="Percent 74 2 2 2 2" xfId="15394" xr:uid="{00000000-0005-0000-0000-0000393C0000}"/>
    <cellStyle name="Percent 74 2 2 2 2 2" xfId="15395" xr:uid="{00000000-0005-0000-0000-00003A3C0000}"/>
    <cellStyle name="Percent 74 2 2 2 3" xfId="15396" xr:uid="{00000000-0005-0000-0000-00003B3C0000}"/>
    <cellStyle name="Percent 74 2 2 2 3 2" xfId="15397" xr:uid="{00000000-0005-0000-0000-00003C3C0000}"/>
    <cellStyle name="Percent 74 2 2 2 4" xfId="15398" xr:uid="{00000000-0005-0000-0000-00003D3C0000}"/>
    <cellStyle name="Percent 74 2 2 3" xfId="15399" xr:uid="{00000000-0005-0000-0000-00003E3C0000}"/>
    <cellStyle name="Percent 74 2 2 3 2" xfId="15400" xr:uid="{00000000-0005-0000-0000-00003F3C0000}"/>
    <cellStyle name="Percent 74 2 2 3 2 2" xfId="15401" xr:uid="{00000000-0005-0000-0000-0000403C0000}"/>
    <cellStyle name="Percent 74 2 2 3 3" xfId="15402" xr:uid="{00000000-0005-0000-0000-0000413C0000}"/>
    <cellStyle name="Percent 74 2 2 4" xfId="15403" xr:uid="{00000000-0005-0000-0000-0000423C0000}"/>
    <cellStyle name="Percent 74 2 2 4 2" xfId="15404" xr:uid="{00000000-0005-0000-0000-0000433C0000}"/>
    <cellStyle name="Percent 74 2 2 5" xfId="15405" xr:uid="{00000000-0005-0000-0000-0000443C0000}"/>
    <cellStyle name="Percent 74 2 2 5 2" xfId="15406" xr:uid="{00000000-0005-0000-0000-0000453C0000}"/>
    <cellStyle name="Percent 74 2 2 6" xfId="15407" xr:uid="{00000000-0005-0000-0000-0000463C0000}"/>
    <cellStyle name="Percent 74 2 3" xfId="15408" xr:uid="{00000000-0005-0000-0000-0000473C0000}"/>
    <cellStyle name="Percent 74 2 3 2" xfId="15409" xr:uid="{00000000-0005-0000-0000-0000483C0000}"/>
    <cellStyle name="Percent 74 2 3 2 2" xfId="15410" xr:uid="{00000000-0005-0000-0000-0000493C0000}"/>
    <cellStyle name="Percent 74 2 3 3" xfId="15411" xr:uid="{00000000-0005-0000-0000-00004A3C0000}"/>
    <cellStyle name="Percent 74 2 3 3 2" xfId="15412" xr:uid="{00000000-0005-0000-0000-00004B3C0000}"/>
    <cellStyle name="Percent 74 2 3 4" xfId="15413" xr:uid="{00000000-0005-0000-0000-00004C3C0000}"/>
    <cellStyle name="Percent 74 2 4" xfId="15414" xr:uid="{00000000-0005-0000-0000-00004D3C0000}"/>
    <cellStyle name="Percent 74 2 4 2" xfId="15415" xr:uid="{00000000-0005-0000-0000-00004E3C0000}"/>
    <cellStyle name="Percent 74 2 4 2 2" xfId="15416" xr:uid="{00000000-0005-0000-0000-00004F3C0000}"/>
    <cellStyle name="Percent 74 2 4 3" xfId="15417" xr:uid="{00000000-0005-0000-0000-0000503C0000}"/>
    <cellStyle name="Percent 74 2 5" xfId="15418" xr:uid="{00000000-0005-0000-0000-0000513C0000}"/>
    <cellStyle name="Percent 74 2 5 2" xfId="15419" xr:uid="{00000000-0005-0000-0000-0000523C0000}"/>
    <cellStyle name="Percent 74 2 6" xfId="15420" xr:uid="{00000000-0005-0000-0000-0000533C0000}"/>
    <cellStyle name="Percent 74 2 6 2" xfId="15421" xr:uid="{00000000-0005-0000-0000-0000543C0000}"/>
    <cellStyle name="Percent 74 2 7" xfId="15422" xr:uid="{00000000-0005-0000-0000-0000553C0000}"/>
    <cellStyle name="Percent 74 3" xfId="15423" xr:uid="{00000000-0005-0000-0000-0000563C0000}"/>
    <cellStyle name="Percent 74 3 2" xfId="15424" xr:uid="{00000000-0005-0000-0000-0000573C0000}"/>
    <cellStyle name="Percent 74 3 2 2" xfId="15425" xr:uid="{00000000-0005-0000-0000-0000583C0000}"/>
    <cellStyle name="Percent 74 3 2 2 2" xfId="15426" xr:uid="{00000000-0005-0000-0000-0000593C0000}"/>
    <cellStyle name="Percent 74 3 2 3" xfId="15427" xr:uid="{00000000-0005-0000-0000-00005A3C0000}"/>
    <cellStyle name="Percent 74 3 2 3 2" xfId="15428" xr:uid="{00000000-0005-0000-0000-00005B3C0000}"/>
    <cellStyle name="Percent 74 3 2 4" xfId="15429" xr:uid="{00000000-0005-0000-0000-00005C3C0000}"/>
    <cellStyle name="Percent 74 3 3" xfId="15430" xr:uid="{00000000-0005-0000-0000-00005D3C0000}"/>
    <cellStyle name="Percent 74 3 3 2" xfId="15431" xr:uid="{00000000-0005-0000-0000-00005E3C0000}"/>
    <cellStyle name="Percent 74 3 3 2 2" xfId="15432" xr:uid="{00000000-0005-0000-0000-00005F3C0000}"/>
    <cellStyle name="Percent 74 3 3 3" xfId="15433" xr:uid="{00000000-0005-0000-0000-0000603C0000}"/>
    <cellStyle name="Percent 74 3 4" xfId="15434" xr:uid="{00000000-0005-0000-0000-0000613C0000}"/>
    <cellStyle name="Percent 74 3 4 2" xfId="15435" xr:uid="{00000000-0005-0000-0000-0000623C0000}"/>
    <cellStyle name="Percent 74 3 5" xfId="15436" xr:uid="{00000000-0005-0000-0000-0000633C0000}"/>
    <cellStyle name="Percent 74 3 5 2" xfId="15437" xr:uid="{00000000-0005-0000-0000-0000643C0000}"/>
    <cellStyle name="Percent 74 3 6" xfId="15438" xr:uid="{00000000-0005-0000-0000-0000653C0000}"/>
    <cellStyle name="Percent 74 4" xfId="15439" xr:uid="{00000000-0005-0000-0000-0000663C0000}"/>
    <cellStyle name="Percent 74 4 2" xfId="15440" xr:uid="{00000000-0005-0000-0000-0000673C0000}"/>
    <cellStyle name="Percent 74 4 2 2" xfId="15441" xr:uid="{00000000-0005-0000-0000-0000683C0000}"/>
    <cellStyle name="Percent 74 4 3" xfId="15442" xr:uid="{00000000-0005-0000-0000-0000693C0000}"/>
    <cellStyle name="Percent 74 4 3 2" xfId="15443" xr:uid="{00000000-0005-0000-0000-00006A3C0000}"/>
    <cellStyle name="Percent 74 4 4" xfId="15444" xr:uid="{00000000-0005-0000-0000-00006B3C0000}"/>
    <cellStyle name="Percent 74 5" xfId="15445" xr:uid="{00000000-0005-0000-0000-00006C3C0000}"/>
    <cellStyle name="Percent 74 5 2" xfId="15446" xr:uid="{00000000-0005-0000-0000-00006D3C0000}"/>
    <cellStyle name="Percent 74 5 2 2" xfId="15447" xr:uid="{00000000-0005-0000-0000-00006E3C0000}"/>
    <cellStyle name="Percent 74 5 3" xfId="15448" xr:uid="{00000000-0005-0000-0000-00006F3C0000}"/>
    <cellStyle name="Percent 74 6" xfId="15449" xr:uid="{00000000-0005-0000-0000-0000703C0000}"/>
    <cellStyle name="Percent 74 6 2" xfId="15450" xr:uid="{00000000-0005-0000-0000-0000713C0000}"/>
    <cellStyle name="Percent 74 7" xfId="15451" xr:uid="{00000000-0005-0000-0000-0000723C0000}"/>
    <cellStyle name="Percent 74 7 2" xfId="15452" xr:uid="{00000000-0005-0000-0000-0000733C0000}"/>
    <cellStyle name="Percent 74 8" xfId="15453" xr:uid="{00000000-0005-0000-0000-0000743C0000}"/>
    <cellStyle name="Percent 75" xfId="15454" xr:uid="{00000000-0005-0000-0000-0000753C0000}"/>
    <cellStyle name="Percent 75 2" xfId="15455" xr:uid="{00000000-0005-0000-0000-0000763C0000}"/>
    <cellStyle name="Percent 75 2 2" xfId="15456" xr:uid="{00000000-0005-0000-0000-0000773C0000}"/>
    <cellStyle name="Percent 75 2 2 2" xfId="15457" xr:uid="{00000000-0005-0000-0000-0000783C0000}"/>
    <cellStyle name="Percent 75 2 2 2 2" xfId="15458" xr:uid="{00000000-0005-0000-0000-0000793C0000}"/>
    <cellStyle name="Percent 75 2 2 2 2 2" xfId="15459" xr:uid="{00000000-0005-0000-0000-00007A3C0000}"/>
    <cellStyle name="Percent 75 2 2 2 3" xfId="15460" xr:uid="{00000000-0005-0000-0000-00007B3C0000}"/>
    <cellStyle name="Percent 75 2 2 2 3 2" xfId="15461" xr:uid="{00000000-0005-0000-0000-00007C3C0000}"/>
    <cellStyle name="Percent 75 2 2 2 4" xfId="15462" xr:uid="{00000000-0005-0000-0000-00007D3C0000}"/>
    <cellStyle name="Percent 75 2 2 3" xfId="15463" xr:uid="{00000000-0005-0000-0000-00007E3C0000}"/>
    <cellStyle name="Percent 75 2 2 3 2" xfId="15464" xr:uid="{00000000-0005-0000-0000-00007F3C0000}"/>
    <cellStyle name="Percent 75 2 2 3 2 2" xfId="15465" xr:uid="{00000000-0005-0000-0000-0000803C0000}"/>
    <cellStyle name="Percent 75 2 2 3 3" xfId="15466" xr:uid="{00000000-0005-0000-0000-0000813C0000}"/>
    <cellStyle name="Percent 75 2 2 4" xfId="15467" xr:uid="{00000000-0005-0000-0000-0000823C0000}"/>
    <cellStyle name="Percent 75 2 2 4 2" xfId="15468" xr:uid="{00000000-0005-0000-0000-0000833C0000}"/>
    <cellStyle name="Percent 75 2 2 5" xfId="15469" xr:uid="{00000000-0005-0000-0000-0000843C0000}"/>
    <cellStyle name="Percent 75 2 2 5 2" xfId="15470" xr:uid="{00000000-0005-0000-0000-0000853C0000}"/>
    <cellStyle name="Percent 75 2 2 6" xfId="15471" xr:uid="{00000000-0005-0000-0000-0000863C0000}"/>
    <cellStyle name="Percent 75 2 3" xfId="15472" xr:uid="{00000000-0005-0000-0000-0000873C0000}"/>
    <cellStyle name="Percent 75 2 3 2" xfId="15473" xr:uid="{00000000-0005-0000-0000-0000883C0000}"/>
    <cellStyle name="Percent 75 2 3 2 2" xfId="15474" xr:uid="{00000000-0005-0000-0000-0000893C0000}"/>
    <cellStyle name="Percent 75 2 3 3" xfId="15475" xr:uid="{00000000-0005-0000-0000-00008A3C0000}"/>
    <cellStyle name="Percent 75 2 3 3 2" xfId="15476" xr:uid="{00000000-0005-0000-0000-00008B3C0000}"/>
    <cellStyle name="Percent 75 2 3 4" xfId="15477" xr:uid="{00000000-0005-0000-0000-00008C3C0000}"/>
    <cellStyle name="Percent 75 2 4" xfId="15478" xr:uid="{00000000-0005-0000-0000-00008D3C0000}"/>
    <cellStyle name="Percent 75 2 4 2" xfId="15479" xr:uid="{00000000-0005-0000-0000-00008E3C0000}"/>
    <cellStyle name="Percent 75 2 4 2 2" xfId="15480" xr:uid="{00000000-0005-0000-0000-00008F3C0000}"/>
    <cellStyle name="Percent 75 2 4 3" xfId="15481" xr:uid="{00000000-0005-0000-0000-0000903C0000}"/>
    <cellStyle name="Percent 75 2 5" xfId="15482" xr:uid="{00000000-0005-0000-0000-0000913C0000}"/>
    <cellStyle name="Percent 75 2 5 2" xfId="15483" xr:uid="{00000000-0005-0000-0000-0000923C0000}"/>
    <cellStyle name="Percent 75 2 6" xfId="15484" xr:uid="{00000000-0005-0000-0000-0000933C0000}"/>
    <cellStyle name="Percent 75 2 6 2" xfId="15485" xr:uid="{00000000-0005-0000-0000-0000943C0000}"/>
    <cellStyle name="Percent 75 2 7" xfId="15486" xr:uid="{00000000-0005-0000-0000-0000953C0000}"/>
    <cellStyle name="Percent 75 3" xfId="15487" xr:uid="{00000000-0005-0000-0000-0000963C0000}"/>
    <cellStyle name="Percent 75 3 2" xfId="15488" xr:uid="{00000000-0005-0000-0000-0000973C0000}"/>
    <cellStyle name="Percent 75 3 2 2" xfId="15489" xr:uid="{00000000-0005-0000-0000-0000983C0000}"/>
    <cellStyle name="Percent 75 3 2 2 2" xfId="15490" xr:uid="{00000000-0005-0000-0000-0000993C0000}"/>
    <cellStyle name="Percent 75 3 2 3" xfId="15491" xr:uid="{00000000-0005-0000-0000-00009A3C0000}"/>
    <cellStyle name="Percent 75 3 2 3 2" xfId="15492" xr:uid="{00000000-0005-0000-0000-00009B3C0000}"/>
    <cellStyle name="Percent 75 3 2 4" xfId="15493" xr:uid="{00000000-0005-0000-0000-00009C3C0000}"/>
    <cellStyle name="Percent 75 3 3" xfId="15494" xr:uid="{00000000-0005-0000-0000-00009D3C0000}"/>
    <cellStyle name="Percent 75 3 3 2" xfId="15495" xr:uid="{00000000-0005-0000-0000-00009E3C0000}"/>
    <cellStyle name="Percent 75 3 3 2 2" xfId="15496" xr:uid="{00000000-0005-0000-0000-00009F3C0000}"/>
    <cellStyle name="Percent 75 3 3 3" xfId="15497" xr:uid="{00000000-0005-0000-0000-0000A03C0000}"/>
    <cellStyle name="Percent 75 3 4" xfId="15498" xr:uid="{00000000-0005-0000-0000-0000A13C0000}"/>
    <cellStyle name="Percent 75 3 4 2" xfId="15499" xr:uid="{00000000-0005-0000-0000-0000A23C0000}"/>
    <cellStyle name="Percent 75 3 5" xfId="15500" xr:uid="{00000000-0005-0000-0000-0000A33C0000}"/>
    <cellStyle name="Percent 75 3 5 2" xfId="15501" xr:uid="{00000000-0005-0000-0000-0000A43C0000}"/>
    <cellStyle name="Percent 75 3 6" xfId="15502" xr:uid="{00000000-0005-0000-0000-0000A53C0000}"/>
    <cellStyle name="Percent 75 4" xfId="15503" xr:uid="{00000000-0005-0000-0000-0000A63C0000}"/>
    <cellStyle name="Percent 75 4 2" xfId="15504" xr:uid="{00000000-0005-0000-0000-0000A73C0000}"/>
    <cellStyle name="Percent 75 4 2 2" xfId="15505" xr:uid="{00000000-0005-0000-0000-0000A83C0000}"/>
    <cellStyle name="Percent 75 4 3" xfId="15506" xr:uid="{00000000-0005-0000-0000-0000A93C0000}"/>
    <cellStyle name="Percent 75 4 3 2" xfId="15507" xr:uid="{00000000-0005-0000-0000-0000AA3C0000}"/>
    <cellStyle name="Percent 75 4 4" xfId="15508" xr:uid="{00000000-0005-0000-0000-0000AB3C0000}"/>
    <cellStyle name="Percent 75 5" xfId="15509" xr:uid="{00000000-0005-0000-0000-0000AC3C0000}"/>
    <cellStyle name="Percent 75 5 2" xfId="15510" xr:uid="{00000000-0005-0000-0000-0000AD3C0000}"/>
    <cellStyle name="Percent 75 5 2 2" xfId="15511" xr:uid="{00000000-0005-0000-0000-0000AE3C0000}"/>
    <cellStyle name="Percent 75 5 3" xfId="15512" xr:uid="{00000000-0005-0000-0000-0000AF3C0000}"/>
    <cellStyle name="Percent 75 6" xfId="15513" xr:uid="{00000000-0005-0000-0000-0000B03C0000}"/>
    <cellStyle name="Percent 75 6 2" xfId="15514" xr:uid="{00000000-0005-0000-0000-0000B13C0000}"/>
    <cellStyle name="Percent 75 7" xfId="15515" xr:uid="{00000000-0005-0000-0000-0000B23C0000}"/>
    <cellStyle name="Percent 75 7 2" xfId="15516" xr:uid="{00000000-0005-0000-0000-0000B33C0000}"/>
    <cellStyle name="Percent 75 8" xfId="15517" xr:uid="{00000000-0005-0000-0000-0000B43C0000}"/>
    <cellStyle name="Percent 76" xfId="15518" xr:uid="{00000000-0005-0000-0000-0000B53C0000}"/>
    <cellStyle name="Percent 76 2" xfId="15519" xr:uid="{00000000-0005-0000-0000-0000B63C0000}"/>
    <cellStyle name="Percent 76 2 2" xfId="15520" xr:uid="{00000000-0005-0000-0000-0000B73C0000}"/>
    <cellStyle name="Percent 76 2 2 2" xfId="15521" xr:uid="{00000000-0005-0000-0000-0000B83C0000}"/>
    <cellStyle name="Percent 76 2 2 2 2" xfId="15522" xr:uid="{00000000-0005-0000-0000-0000B93C0000}"/>
    <cellStyle name="Percent 76 2 2 2 2 2" xfId="15523" xr:uid="{00000000-0005-0000-0000-0000BA3C0000}"/>
    <cellStyle name="Percent 76 2 2 2 3" xfId="15524" xr:uid="{00000000-0005-0000-0000-0000BB3C0000}"/>
    <cellStyle name="Percent 76 2 2 2 3 2" xfId="15525" xr:uid="{00000000-0005-0000-0000-0000BC3C0000}"/>
    <cellStyle name="Percent 76 2 2 2 4" xfId="15526" xr:uid="{00000000-0005-0000-0000-0000BD3C0000}"/>
    <cellStyle name="Percent 76 2 2 3" xfId="15527" xr:uid="{00000000-0005-0000-0000-0000BE3C0000}"/>
    <cellStyle name="Percent 76 2 2 3 2" xfId="15528" xr:uid="{00000000-0005-0000-0000-0000BF3C0000}"/>
    <cellStyle name="Percent 76 2 2 3 2 2" xfId="15529" xr:uid="{00000000-0005-0000-0000-0000C03C0000}"/>
    <cellStyle name="Percent 76 2 2 3 3" xfId="15530" xr:uid="{00000000-0005-0000-0000-0000C13C0000}"/>
    <cellStyle name="Percent 76 2 2 4" xfId="15531" xr:uid="{00000000-0005-0000-0000-0000C23C0000}"/>
    <cellStyle name="Percent 76 2 2 4 2" xfId="15532" xr:uid="{00000000-0005-0000-0000-0000C33C0000}"/>
    <cellStyle name="Percent 76 2 2 5" xfId="15533" xr:uid="{00000000-0005-0000-0000-0000C43C0000}"/>
    <cellStyle name="Percent 76 2 2 5 2" xfId="15534" xr:uid="{00000000-0005-0000-0000-0000C53C0000}"/>
    <cellStyle name="Percent 76 2 2 6" xfId="15535" xr:uid="{00000000-0005-0000-0000-0000C63C0000}"/>
    <cellStyle name="Percent 76 2 3" xfId="15536" xr:uid="{00000000-0005-0000-0000-0000C73C0000}"/>
    <cellStyle name="Percent 76 2 3 2" xfId="15537" xr:uid="{00000000-0005-0000-0000-0000C83C0000}"/>
    <cellStyle name="Percent 76 2 3 2 2" xfId="15538" xr:uid="{00000000-0005-0000-0000-0000C93C0000}"/>
    <cellStyle name="Percent 76 2 3 3" xfId="15539" xr:uid="{00000000-0005-0000-0000-0000CA3C0000}"/>
    <cellStyle name="Percent 76 2 3 3 2" xfId="15540" xr:uid="{00000000-0005-0000-0000-0000CB3C0000}"/>
    <cellStyle name="Percent 76 2 3 4" xfId="15541" xr:uid="{00000000-0005-0000-0000-0000CC3C0000}"/>
    <cellStyle name="Percent 76 2 4" xfId="15542" xr:uid="{00000000-0005-0000-0000-0000CD3C0000}"/>
    <cellStyle name="Percent 76 2 4 2" xfId="15543" xr:uid="{00000000-0005-0000-0000-0000CE3C0000}"/>
    <cellStyle name="Percent 76 2 4 2 2" xfId="15544" xr:uid="{00000000-0005-0000-0000-0000CF3C0000}"/>
    <cellStyle name="Percent 76 2 4 3" xfId="15545" xr:uid="{00000000-0005-0000-0000-0000D03C0000}"/>
    <cellStyle name="Percent 76 2 5" xfId="15546" xr:uid="{00000000-0005-0000-0000-0000D13C0000}"/>
    <cellStyle name="Percent 76 2 5 2" xfId="15547" xr:uid="{00000000-0005-0000-0000-0000D23C0000}"/>
    <cellStyle name="Percent 76 2 6" xfId="15548" xr:uid="{00000000-0005-0000-0000-0000D33C0000}"/>
    <cellStyle name="Percent 76 2 6 2" xfId="15549" xr:uid="{00000000-0005-0000-0000-0000D43C0000}"/>
    <cellStyle name="Percent 76 2 7" xfId="15550" xr:uid="{00000000-0005-0000-0000-0000D53C0000}"/>
    <cellStyle name="Percent 76 3" xfId="15551" xr:uid="{00000000-0005-0000-0000-0000D63C0000}"/>
    <cellStyle name="Percent 76 3 2" xfId="15552" xr:uid="{00000000-0005-0000-0000-0000D73C0000}"/>
    <cellStyle name="Percent 76 3 2 2" xfId="15553" xr:uid="{00000000-0005-0000-0000-0000D83C0000}"/>
    <cellStyle name="Percent 76 3 2 2 2" xfId="15554" xr:uid="{00000000-0005-0000-0000-0000D93C0000}"/>
    <cellStyle name="Percent 76 3 2 3" xfId="15555" xr:uid="{00000000-0005-0000-0000-0000DA3C0000}"/>
    <cellStyle name="Percent 76 3 2 3 2" xfId="15556" xr:uid="{00000000-0005-0000-0000-0000DB3C0000}"/>
    <cellStyle name="Percent 76 3 2 4" xfId="15557" xr:uid="{00000000-0005-0000-0000-0000DC3C0000}"/>
    <cellStyle name="Percent 76 3 3" xfId="15558" xr:uid="{00000000-0005-0000-0000-0000DD3C0000}"/>
    <cellStyle name="Percent 76 3 3 2" xfId="15559" xr:uid="{00000000-0005-0000-0000-0000DE3C0000}"/>
    <cellStyle name="Percent 76 3 3 2 2" xfId="15560" xr:uid="{00000000-0005-0000-0000-0000DF3C0000}"/>
    <cellStyle name="Percent 76 3 3 3" xfId="15561" xr:uid="{00000000-0005-0000-0000-0000E03C0000}"/>
    <cellStyle name="Percent 76 3 4" xfId="15562" xr:uid="{00000000-0005-0000-0000-0000E13C0000}"/>
    <cellStyle name="Percent 76 3 4 2" xfId="15563" xr:uid="{00000000-0005-0000-0000-0000E23C0000}"/>
    <cellStyle name="Percent 76 3 5" xfId="15564" xr:uid="{00000000-0005-0000-0000-0000E33C0000}"/>
    <cellStyle name="Percent 76 3 5 2" xfId="15565" xr:uid="{00000000-0005-0000-0000-0000E43C0000}"/>
    <cellStyle name="Percent 76 3 6" xfId="15566" xr:uid="{00000000-0005-0000-0000-0000E53C0000}"/>
    <cellStyle name="Percent 76 4" xfId="15567" xr:uid="{00000000-0005-0000-0000-0000E63C0000}"/>
    <cellStyle name="Percent 76 4 2" xfId="15568" xr:uid="{00000000-0005-0000-0000-0000E73C0000}"/>
    <cellStyle name="Percent 76 4 2 2" xfId="15569" xr:uid="{00000000-0005-0000-0000-0000E83C0000}"/>
    <cellStyle name="Percent 76 4 3" xfId="15570" xr:uid="{00000000-0005-0000-0000-0000E93C0000}"/>
    <cellStyle name="Percent 76 4 3 2" xfId="15571" xr:uid="{00000000-0005-0000-0000-0000EA3C0000}"/>
    <cellStyle name="Percent 76 4 4" xfId="15572" xr:uid="{00000000-0005-0000-0000-0000EB3C0000}"/>
    <cellStyle name="Percent 76 5" xfId="15573" xr:uid="{00000000-0005-0000-0000-0000EC3C0000}"/>
    <cellStyle name="Percent 76 5 2" xfId="15574" xr:uid="{00000000-0005-0000-0000-0000ED3C0000}"/>
    <cellStyle name="Percent 76 5 2 2" xfId="15575" xr:uid="{00000000-0005-0000-0000-0000EE3C0000}"/>
    <cellStyle name="Percent 76 5 3" xfId="15576" xr:uid="{00000000-0005-0000-0000-0000EF3C0000}"/>
    <cellStyle name="Percent 76 6" xfId="15577" xr:uid="{00000000-0005-0000-0000-0000F03C0000}"/>
    <cellStyle name="Percent 76 6 2" xfId="15578" xr:uid="{00000000-0005-0000-0000-0000F13C0000}"/>
    <cellStyle name="Percent 76 7" xfId="15579" xr:uid="{00000000-0005-0000-0000-0000F23C0000}"/>
    <cellStyle name="Percent 76 7 2" xfId="15580" xr:uid="{00000000-0005-0000-0000-0000F33C0000}"/>
    <cellStyle name="Percent 76 8" xfId="15581" xr:uid="{00000000-0005-0000-0000-0000F43C0000}"/>
    <cellStyle name="Percent 77" xfId="15582" xr:uid="{00000000-0005-0000-0000-0000F53C0000}"/>
    <cellStyle name="Percent 77 2" xfId="15583" xr:uid="{00000000-0005-0000-0000-0000F63C0000}"/>
    <cellStyle name="Percent 77 2 2" xfId="15584" xr:uid="{00000000-0005-0000-0000-0000F73C0000}"/>
    <cellStyle name="Percent 77 2 2 2" xfId="15585" xr:uid="{00000000-0005-0000-0000-0000F83C0000}"/>
    <cellStyle name="Percent 77 2 2 2 2" xfId="15586" xr:uid="{00000000-0005-0000-0000-0000F93C0000}"/>
    <cellStyle name="Percent 77 2 2 2 2 2" xfId="15587" xr:uid="{00000000-0005-0000-0000-0000FA3C0000}"/>
    <cellStyle name="Percent 77 2 2 2 3" xfId="15588" xr:uid="{00000000-0005-0000-0000-0000FB3C0000}"/>
    <cellStyle name="Percent 77 2 2 2 3 2" xfId="15589" xr:uid="{00000000-0005-0000-0000-0000FC3C0000}"/>
    <cellStyle name="Percent 77 2 2 2 4" xfId="15590" xr:uid="{00000000-0005-0000-0000-0000FD3C0000}"/>
    <cellStyle name="Percent 77 2 2 3" xfId="15591" xr:uid="{00000000-0005-0000-0000-0000FE3C0000}"/>
    <cellStyle name="Percent 77 2 2 3 2" xfId="15592" xr:uid="{00000000-0005-0000-0000-0000FF3C0000}"/>
    <cellStyle name="Percent 77 2 2 3 2 2" xfId="15593" xr:uid="{00000000-0005-0000-0000-0000003D0000}"/>
    <cellStyle name="Percent 77 2 2 3 3" xfId="15594" xr:uid="{00000000-0005-0000-0000-0000013D0000}"/>
    <cellStyle name="Percent 77 2 2 4" xfId="15595" xr:uid="{00000000-0005-0000-0000-0000023D0000}"/>
    <cellStyle name="Percent 77 2 2 4 2" xfId="15596" xr:uid="{00000000-0005-0000-0000-0000033D0000}"/>
    <cellStyle name="Percent 77 2 2 5" xfId="15597" xr:uid="{00000000-0005-0000-0000-0000043D0000}"/>
    <cellStyle name="Percent 77 2 2 5 2" xfId="15598" xr:uid="{00000000-0005-0000-0000-0000053D0000}"/>
    <cellStyle name="Percent 77 2 2 6" xfId="15599" xr:uid="{00000000-0005-0000-0000-0000063D0000}"/>
    <cellStyle name="Percent 77 2 3" xfId="15600" xr:uid="{00000000-0005-0000-0000-0000073D0000}"/>
    <cellStyle name="Percent 77 2 3 2" xfId="15601" xr:uid="{00000000-0005-0000-0000-0000083D0000}"/>
    <cellStyle name="Percent 77 2 3 2 2" xfId="15602" xr:uid="{00000000-0005-0000-0000-0000093D0000}"/>
    <cellStyle name="Percent 77 2 3 3" xfId="15603" xr:uid="{00000000-0005-0000-0000-00000A3D0000}"/>
    <cellStyle name="Percent 77 2 3 3 2" xfId="15604" xr:uid="{00000000-0005-0000-0000-00000B3D0000}"/>
    <cellStyle name="Percent 77 2 3 4" xfId="15605" xr:uid="{00000000-0005-0000-0000-00000C3D0000}"/>
    <cellStyle name="Percent 77 2 4" xfId="15606" xr:uid="{00000000-0005-0000-0000-00000D3D0000}"/>
    <cellStyle name="Percent 77 2 4 2" xfId="15607" xr:uid="{00000000-0005-0000-0000-00000E3D0000}"/>
    <cellStyle name="Percent 77 2 4 2 2" xfId="15608" xr:uid="{00000000-0005-0000-0000-00000F3D0000}"/>
    <cellStyle name="Percent 77 2 4 3" xfId="15609" xr:uid="{00000000-0005-0000-0000-0000103D0000}"/>
    <cellStyle name="Percent 77 2 5" xfId="15610" xr:uid="{00000000-0005-0000-0000-0000113D0000}"/>
    <cellStyle name="Percent 77 2 5 2" xfId="15611" xr:uid="{00000000-0005-0000-0000-0000123D0000}"/>
    <cellStyle name="Percent 77 2 6" xfId="15612" xr:uid="{00000000-0005-0000-0000-0000133D0000}"/>
    <cellStyle name="Percent 77 2 6 2" xfId="15613" xr:uid="{00000000-0005-0000-0000-0000143D0000}"/>
    <cellStyle name="Percent 77 2 7" xfId="15614" xr:uid="{00000000-0005-0000-0000-0000153D0000}"/>
    <cellStyle name="Percent 77 3" xfId="15615" xr:uid="{00000000-0005-0000-0000-0000163D0000}"/>
    <cellStyle name="Percent 77 3 2" xfId="15616" xr:uid="{00000000-0005-0000-0000-0000173D0000}"/>
    <cellStyle name="Percent 77 3 2 2" xfId="15617" xr:uid="{00000000-0005-0000-0000-0000183D0000}"/>
    <cellStyle name="Percent 77 3 2 2 2" xfId="15618" xr:uid="{00000000-0005-0000-0000-0000193D0000}"/>
    <cellStyle name="Percent 77 3 2 3" xfId="15619" xr:uid="{00000000-0005-0000-0000-00001A3D0000}"/>
    <cellStyle name="Percent 77 3 2 3 2" xfId="15620" xr:uid="{00000000-0005-0000-0000-00001B3D0000}"/>
    <cellStyle name="Percent 77 3 2 4" xfId="15621" xr:uid="{00000000-0005-0000-0000-00001C3D0000}"/>
    <cellStyle name="Percent 77 3 3" xfId="15622" xr:uid="{00000000-0005-0000-0000-00001D3D0000}"/>
    <cellStyle name="Percent 77 3 3 2" xfId="15623" xr:uid="{00000000-0005-0000-0000-00001E3D0000}"/>
    <cellStyle name="Percent 77 3 3 2 2" xfId="15624" xr:uid="{00000000-0005-0000-0000-00001F3D0000}"/>
    <cellStyle name="Percent 77 3 3 3" xfId="15625" xr:uid="{00000000-0005-0000-0000-0000203D0000}"/>
    <cellStyle name="Percent 77 3 4" xfId="15626" xr:uid="{00000000-0005-0000-0000-0000213D0000}"/>
    <cellStyle name="Percent 77 3 4 2" xfId="15627" xr:uid="{00000000-0005-0000-0000-0000223D0000}"/>
    <cellStyle name="Percent 77 3 5" xfId="15628" xr:uid="{00000000-0005-0000-0000-0000233D0000}"/>
    <cellStyle name="Percent 77 3 5 2" xfId="15629" xr:uid="{00000000-0005-0000-0000-0000243D0000}"/>
    <cellStyle name="Percent 77 3 6" xfId="15630" xr:uid="{00000000-0005-0000-0000-0000253D0000}"/>
    <cellStyle name="Percent 77 4" xfId="15631" xr:uid="{00000000-0005-0000-0000-0000263D0000}"/>
    <cellStyle name="Percent 77 4 2" xfId="15632" xr:uid="{00000000-0005-0000-0000-0000273D0000}"/>
    <cellStyle name="Percent 77 4 2 2" xfId="15633" xr:uid="{00000000-0005-0000-0000-0000283D0000}"/>
    <cellStyle name="Percent 77 4 3" xfId="15634" xr:uid="{00000000-0005-0000-0000-0000293D0000}"/>
    <cellStyle name="Percent 77 4 3 2" xfId="15635" xr:uid="{00000000-0005-0000-0000-00002A3D0000}"/>
    <cellStyle name="Percent 77 4 4" xfId="15636" xr:uid="{00000000-0005-0000-0000-00002B3D0000}"/>
    <cellStyle name="Percent 77 5" xfId="15637" xr:uid="{00000000-0005-0000-0000-00002C3D0000}"/>
    <cellStyle name="Percent 77 5 2" xfId="15638" xr:uid="{00000000-0005-0000-0000-00002D3D0000}"/>
    <cellStyle name="Percent 77 5 2 2" xfId="15639" xr:uid="{00000000-0005-0000-0000-00002E3D0000}"/>
    <cellStyle name="Percent 77 5 3" xfId="15640" xr:uid="{00000000-0005-0000-0000-00002F3D0000}"/>
    <cellStyle name="Percent 77 6" xfId="15641" xr:uid="{00000000-0005-0000-0000-0000303D0000}"/>
    <cellStyle name="Percent 77 6 2" xfId="15642" xr:uid="{00000000-0005-0000-0000-0000313D0000}"/>
    <cellStyle name="Percent 77 7" xfId="15643" xr:uid="{00000000-0005-0000-0000-0000323D0000}"/>
    <cellStyle name="Percent 77 7 2" xfId="15644" xr:uid="{00000000-0005-0000-0000-0000333D0000}"/>
    <cellStyle name="Percent 77 8" xfId="15645" xr:uid="{00000000-0005-0000-0000-0000343D0000}"/>
    <cellStyle name="Percent 78" xfId="15646" xr:uid="{00000000-0005-0000-0000-0000353D0000}"/>
    <cellStyle name="Percent 78 2" xfId="15647" xr:uid="{00000000-0005-0000-0000-0000363D0000}"/>
    <cellStyle name="Percent 78 2 2" xfId="15648" xr:uid="{00000000-0005-0000-0000-0000373D0000}"/>
    <cellStyle name="Percent 78 2 2 2" xfId="15649" xr:uid="{00000000-0005-0000-0000-0000383D0000}"/>
    <cellStyle name="Percent 78 2 2 2 2" xfId="15650" xr:uid="{00000000-0005-0000-0000-0000393D0000}"/>
    <cellStyle name="Percent 78 2 2 2 2 2" xfId="15651" xr:uid="{00000000-0005-0000-0000-00003A3D0000}"/>
    <cellStyle name="Percent 78 2 2 2 3" xfId="15652" xr:uid="{00000000-0005-0000-0000-00003B3D0000}"/>
    <cellStyle name="Percent 78 2 2 2 3 2" xfId="15653" xr:uid="{00000000-0005-0000-0000-00003C3D0000}"/>
    <cellStyle name="Percent 78 2 2 2 4" xfId="15654" xr:uid="{00000000-0005-0000-0000-00003D3D0000}"/>
    <cellStyle name="Percent 78 2 2 3" xfId="15655" xr:uid="{00000000-0005-0000-0000-00003E3D0000}"/>
    <cellStyle name="Percent 78 2 2 3 2" xfId="15656" xr:uid="{00000000-0005-0000-0000-00003F3D0000}"/>
    <cellStyle name="Percent 78 2 2 3 2 2" xfId="15657" xr:uid="{00000000-0005-0000-0000-0000403D0000}"/>
    <cellStyle name="Percent 78 2 2 3 3" xfId="15658" xr:uid="{00000000-0005-0000-0000-0000413D0000}"/>
    <cellStyle name="Percent 78 2 2 4" xfId="15659" xr:uid="{00000000-0005-0000-0000-0000423D0000}"/>
    <cellStyle name="Percent 78 2 2 4 2" xfId="15660" xr:uid="{00000000-0005-0000-0000-0000433D0000}"/>
    <cellStyle name="Percent 78 2 2 5" xfId="15661" xr:uid="{00000000-0005-0000-0000-0000443D0000}"/>
    <cellStyle name="Percent 78 2 2 5 2" xfId="15662" xr:uid="{00000000-0005-0000-0000-0000453D0000}"/>
    <cellStyle name="Percent 78 2 2 6" xfId="15663" xr:uid="{00000000-0005-0000-0000-0000463D0000}"/>
    <cellStyle name="Percent 78 2 3" xfId="15664" xr:uid="{00000000-0005-0000-0000-0000473D0000}"/>
    <cellStyle name="Percent 78 2 3 2" xfId="15665" xr:uid="{00000000-0005-0000-0000-0000483D0000}"/>
    <cellStyle name="Percent 78 2 3 2 2" xfId="15666" xr:uid="{00000000-0005-0000-0000-0000493D0000}"/>
    <cellStyle name="Percent 78 2 3 3" xfId="15667" xr:uid="{00000000-0005-0000-0000-00004A3D0000}"/>
    <cellStyle name="Percent 78 2 3 3 2" xfId="15668" xr:uid="{00000000-0005-0000-0000-00004B3D0000}"/>
    <cellStyle name="Percent 78 2 3 4" xfId="15669" xr:uid="{00000000-0005-0000-0000-00004C3D0000}"/>
    <cellStyle name="Percent 78 2 4" xfId="15670" xr:uid="{00000000-0005-0000-0000-00004D3D0000}"/>
    <cellStyle name="Percent 78 2 4 2" xfId="15671" xr:uid="{00000000-0005-0000-0000-00004E3D0000}"/>
    <cellStyle name="Percent 78 2 4 2 2" xfId="15672" xr:uid="{00000000-0005-0000-0000-00004F3D0000}"/>
    <cellStyle name="Percent 78 2 4 3" xfId="15673" xr:uid="{00000000-0005-0000-0000-0000503D0000}"/>
    <cellStyle name="Percent 78 2 5" xfId="15674" xr:uid="{00000000-0005-0000-0000-0000513D0000}"/>
    <cellStyle name="Percent 78 2 5 2" xfId="15675" xr:uid="{00000000-0005-0000-0000-0000523D0000}"/>
    <cellStyle name="Percent 78 2 6" xfId="15676" xr:uid="{00000000-0005-0000-0000-0000533D0000}"/>
    <cellStyle name="Percent 78 2 6 2" xfId="15677" xr:uid="{00000000-0005-0000-0000-0000543D0000}"/>
    <cellStyle name="Percent 78 2 7" xfId="15678" xr:uid="{00000000-0005-0000-0000-0000553D0000}"/>
    <cellStyle name="Percent 78 3" xfId="15679" xr:uid="{00000000-0005-0000-0000-0000563D0000}"/>
    <cellStyle name="Percent 78 3 2" xfId="15680" xr:uid="{00000000-0005-0000-0000-0000573D0000}"/>
    <cellStyle name="Percent 78 3 2 2" xfId="15681" xr:uid="{00000000-0005-0000-0000-0000583D0000}"/>
    <cellStyle name="Percent 78 3 2 2 2" xfId="15682" xr:uid="{00000000-0005-0000-0000-0000593D0000}"/>
    <cellStyle name="Percent 78 3 2 3" xfId="15683" xr:uid="{00000000-0005-0000-0000-00005A3D0000}"/>
    <cellStyle name="Percent 78 3 2 3 2" xfId="15684" xr:uid="{00000000-0005-0000-0000-00005B3D0000}"/>
    <cellStyle name="Percent 78 3 2 4" xfId="15685" xr:uid="{00000000-0005-0000-0000-00005C3D0000}"/>
    <cellStyle name="Percent 78 3 3" xfId="15686" xr:uid="{00000000-0005-0000-0000-00005D3D0000}"/>
    <cellStyle name="Percent 78 3 3 2" xfId="15687" xr:uid="{00000000-0005-0000-0000-00005E3D0000}"/>
    <cellStyle name="Percent 78 3 3 2 2" xfId="15688" xr:uid="{00000000-0005-0000-0000-00005F3D0000}"/>
    <cellStyle name="Percent 78 3 3 3" xfId="15689" xr:uid="{00000000-0005-0000-0000-0000603D0000}"/>
    <cellStyle name="Percent 78 3 4" xfId="15690" xr:uid="{00000000-0005-0000-0000-0000613D0000}"/>
    <cellStyle name="Percent 78 3 4 2" xfId="15691" xr:uid="{00000000-0005-0000-0000-0000623D0000}"/>
    <cellStyle name="Percent 78 3 5" xfId="15692" xr:uid="{00000000-0005-0000-0000-0000633D0000}"/>
    <cellStyle name="Percent 78 3 5 2" xfId="15693" xr:uid="{00000000-0005-0000-0000-0000643D0000}"/>
    <cellStyle name="Percent 78 3 6" xfId="15694" xr:uid="{00000000-0005-0000-0000-0000653D0000}"/>
    <cellStyle name="Percent 78 4" xfId="15695" xr:uid="{00000000-0005-0000-0000-0000663D0000}"/>
    <cellStyle name="Percent 78 4 2" xfId="15696" xr:uid="{00000000-0005-0000-0000-0000673D0000}"/>
    <cellStyle name="Percent 78 4 2 2" xfId="15697" xr:uid="{00000000-0005-0000-0000-0000683D0000}"/>
    <cellStyle name="Percent 78 4 3" xfId="15698" xr:uid="{00000000-0005-0000-0000-0000693D0000}"/>
    <cellStyle name="Percent 78 4 3 2" xfId="15699" xr:uid="{00000000-0005-0000-0000-00006A3D0000}"/>
    <cellStyle name="Percent 78 4 4" xfId="15700" xr:uid="{00000000-0005-0000-0000-00006B3D0000}"/>
    <cellStyle name="Percent 78 5" xfId="15701" xr:uid="{00000000-0005-0000-0000-00006C3D0000}"/>
    <cellStyle name="Percent 78 5 2" xfId="15702" xr:uid="{00000000-0005-0000-0000-00006D3D0000}"/>
    <cellStyle name="Percent 78 5 2 2" xfId="15703" xr:uid="{00000000-0005-0000-0000-00006E3D0000}"/>
    <cellStyle name="Percent 78 5 3" xfId="15704" xr:uid="{00000000-0005-0000-0000-00006F3D0000}"/>
    <cellStyle name="Percent 78 6" xfId="15705" xr:uid="{00000000-0005-0000-0000-0000703D0000}"/>
    <cellStyle name="Percent 78 6 2" xfId="15706" xr:uid="{00000000-0005-0000-0000-0000713D0000}"/>
    <cellStyle name="Percent 78 7" xfId="15707" xr:uid="{00000000-0005-0000-0000-0000723D0000}"/>
    <cellStyle name="Percent 78 7 2" xfId="15708" xr:uid="{00000000-0005-0000-0000-0000733D0000}"/>
    <cellStyle name="Percent 78 8" xfId="15709" xr:uid="{00000000-0005-0000-0000-0000743D0000}"/>
    <cellStyle name="Percent 79" xfId="15710" xr:uid="{00000000-0005-0000-0000-0000753D0000}"/>
    <cellStyle name="Percent 79 2" xfId="15711" xr:uid="{00000000-0005-0000-0000-0000763D0000}"/>
    <cellStyle name="Percent 79 2 2" xfId="15712" xr:uid="{00000000-0005-0000-0000-0000773D0000}"/>
    <cellStyle name="Percent 79 2 2 2" xfId="15713" xr:uid="{00000000-0005-0000-0000-0000783D0000}"/>
    <cellStyle name="Percent 79 2 2 2 2" xfId="15714" xr:uid="{00000000-0005-0000-0000-0000793D0000}"/>
    <cellStyle name="Percent 79 2 2 2 2 2" xfId="15715" xr:uid="{00000000-0005-0000-0000-00007A3D0000}"/>
    <cellStyle name="Percent 79 2 2 2 3" xfId="15716" xr:uid="{00000000-0005-0000-0000-00007B3D0000}"/>
    <cellStyle name="Percent 79 2 2 2 3 2" xfId="15717" xr:uid="{00000000-0005-0000-0000-00007C3D0000}"/>
    <cellStyle name="Percent 79 2 2 2 4" xfId="15718" xr:uid="{00000000-0005-0000-0000-00007D3D0000}"/>
    <cellStyle name="Percent 79 2 2 3" xfId="15719" xr:uid="{00000000-0005-0000-0000-00007E3D0000}"/>
    <cellStyle name="Percent 79 2 2 3 2" xfId="15720" xr:uid="{00000000-0005-0000-0000-00007F3D0000}"/>
    <cellStyle name="Percent 79 2 2 3 2 2" xfId="15721" xr:uid="{00000000-0005-0000-0000-0000803D0000}"/>
    <cellStyle name="Percent 79 2 2 3 3" xfId="15722" xr:uid="{00000000-0005-0000-0000-0000813D0000}"/>
    <cellStyle name="Percent 79 2 2 4" xfId="15723" xr:uid="{00000000-0005-0000-0000-0000823D0000}"/>
    <cellStyle name="Percent 79 2 2 4 2" xfId="15724" xr:uid="{00000000-0005-0000-0000-0000833D0000}"/>
    <cellStyle name="Percent 79 2 2 5" xfId="15725" xr:uid="{00000000-0005-0000-0000-0000843D0000}"/>
    <cellStyle name="Percent 79 2 2 5 2" xfId="15726" xr:uid="{00000000-0005-0000-0000-0000853D0000}"/>
    <cellStyle name="Percent 79 2 2 6" xfId="15727" xr:uid="{00000000-0005-0000-0000-0000863D0000}"/>
    <cellStyle name="Percent 79 2 3" xfId="15728" xr:uid="{00000000-0005-0000-0000-0000873D0000}"/>
    <cellStyle name="Percent 79 2 3 2" xfId="15729" xr:uid="{00000000-0005-0000-0000-0000883D0000}"/>
    <cellStyle name="Percent 79 2 3 2 2" xfId="15730" xr:uid="{00000000-0005-0000-0000-0000893D0000}"/>
    <cellStyle name="Percent 79 2 3 3" xfId="15731" xr:uid="{00000000-0005-0000-0000-00008A3D0000}"/>
    <cellStyle name="Percent 79 2 3 3 2" xfId="15732" xr:uid="{00000000-0005-0000-0000-00008B3D0000}"/>
    <cellStyle name="Percent 79 2 3 4" xfId="15733" xr:uid="{00000000-0005-0000-0000-00008C3D0000}"/>
    <cellStyle name="Percent 79 2 4" xfId="15734" xr:uid="{00000000-0005-0000-0000-00008D3D0000}"/>
    <cellStyle name="Percent 79 2 4 2" xfId="15735" xr:uid="{00000000-0005-0000-0000-00008E3D0000}"/>
    <cellStyle name="Percent 79 2 4 2 2" xfId="15736" xr:uid="{00000000-0005-0000-0000-00008F3D0000}"/>
    <cellStyle name="Percent 79 2 4 3" xfId="15737" xr:uid="{00000000-0005-0000-0000-0000903D0000}"/>
    <cellStyle name="Percent 79 2 5" xfId="15738" xr:uid="{00000000-0005-0000-0000-0000913D0000}"/>
    <cellStyle name="Percent 79 2 5 2" xfId="15739" xr:uid="{00000000-0005-0000-0000-0000923D0000}"/>
    <cellStyle name="Percent 79 2 6" xfId="15740" xr:uid="{00000000-0005-0000-0000-0000933D0000}"/>
    <cellStyle name="Percent 79 2 6 2" xfId="15741" xr:uid="{00000000-0005-0000-0000-0000943D0000}"/>
    <cellStyle name="Percent 79 2 7" xfId="15742" xr:uid="{00000000-0005-0000-0000-0000953D0000}"/>
    <cellStyle name="Percent 79 3" xfId="15743" xr:uid="{00000000-0005-0000-0000-0000963D0000}"/>
    <cellStyle name="Percent 79 3 2" xfId="15744" xr:uid="{00000000-0005-0000-0000-0000973D0000}"/>
    <cellStyle name="Percent 79 3 2 2" xfId="15745" xr:uid="{00000000-0005-0000-0000-0000983D0000}"/>
    <cellStyle name="Percent 79 3 2 2 2" xfId="15746" xr:uid="{00000000-0005-0000-0000-0000993D0000}"/>
    <cellStyle name="Percent 79 3 2 3" xfId="15747" xr:uid="{00000000-0005-0000-0000-00009A3D0000}"/>
    <cellStyle name="Percent 79 3 2 3 2" xfId="15748" xr:uid="{00000000-0005-0000-0000-00009B3D0000}"/>
    <cellStyle name="Percent 79 3 2 4" xfId="15749" xr:uid="{00000000-0005-0000-0000-00009C3D0000}"/>
    <cellStyle name="Percent 79 3 3" xfId="15750" xr:uid="{00000000-0005-0000-0000-00009D3D0000}"/>
    <cellStyle name="Percent 79 3 3 2" xfId="15751" xr:uid="{00000000-0005-0000-0000-00009E3D0000}"/>
    <cellStyle name="Percent 79 3 3 2 2" xfId="15752" xr:uid="{00000000-0005-0000-0000-00009F3D0000}"/>
    <cellStyle name="Percent 79 3 3 3" xfId="15753" xr:uid="{00000000-0005-0000-0000-0000A03D0000}"/>
    <cellStyle name="Percent 79 3 4" xfId="15754" xr:uid="{00000000-0005-0000-0000-0000A13D0000}"/>
    <cellStyle name="Percent 79 3 4 2" xfId="15755" xr:uid="{00000000-0005-0000-0000-0000A23D0000}"/>
    <cellStyle name="Percent 79 3 5" xfId="15756" xr:uid="{00000000-0005-0000-0000-0000A33D0000}"/>
    <cellStyle name="Percent 79 3 5 2" xfId="15757" xr:uid="{00000000-0005-0000-0000-0000A43D0000}"/>
    <cellStyle name="Percent 79 3 6" xfId="15758" xr:uid="{00000000-0005-0000-0000-0000A53D0000}"/>
    <cellStyle name="Percent 79 4" xfId="15759" xr:uid="{00000000-0005-0000-0000-0000A63D0000}"/>
    <cellStyle name="Percent 79 4 2" xfId="15760" xr:uid="{00000000-0005-0000-0000-0000A73D0000}"/>
    <cellStyle name="Percent 79 4 2 2" xfId="15761" xr:uid="{00000000-0005-0000-0000-0000A83D0000}"/>
    <cellStyle name="Percent 79 4 3" xfId="15762" xr:uid="{00000000-0005-0000-0000-0000A93D0000}"/>
    <cellStyle name="Percent 79 4 3 2" xfId="15763" xr:uid="{00000000-0005-0000-0000-0000AA3D0000}"/>
    <cellStyle name="Percent 79 4 4" xfId="15764" xr:uid="{00000000-0005-0000-0000-0000AB3D0000}"/>
    <cellStyle name="Percent 79 5" xfId="15765" xr:uid="{00000000-0005-0000-0000-0000AC3D0000}"/>
    <cellStyle name="Percent 79 5 2" xfId="15766" xr:uid="{00000000-0005-0000-0000-0000AD3D0000}"/>
    <cellStyle name="Percent 79 5 2 2" xfId="15767" xr:uid="{00000000-0005-0000-0000-0000AE3D0000}"/>
    <cellStyle name="Percent 79 5 3" xfId="15768" xr:uid="{00000000-0005-0000-0000-0000AF3D0000}"/>
    <cellStyle name="Percent 79 6" xfId="15769" xr:uid="{00000000-0005-0000-0000-0000B03D0000}"/>
    <cellStyle name="Percent 79 6 2" xfId="15770" xr:uid="{00000000-0005-0000-0000-0000B13D0000}"/>
    <cellStyle name="Percent 79 7" xfId="15771" xr:uid="{00000000-0005-0000-0000-0000B23D0000}"/>
    <cellStyle name="Percent 79 7 2" xfId="15772" xr:uid="{00000000-0005-0000-0000-0000B33D0000}"/>
    <cellStyle name="Percent 79 8" xfId="15773" xr:uid="{00000000-0005-0000-0000-0000B43D0000}"/>
    <cellStyle name="Percent 8" xfId="247" xr:uid="{00000000-0005-0000-0000-0000B53D0000}"/>
    <cellStyle name="Percent 8 2" xfId="15774" xr:uid="{00000000-0005-0000-0000-0000B63D0000}"/>
    <cellStyle name="Percent 8 2 2" xfId="15775" xr:uid="{00000000-0005-0000-0000-0000B73D0000}"/>
    <cellStyle name="Percent 8 2 2 2" xfId="15776" xr:uid="{00000000-0005-0000-0000-0000B83D0000}"/>
    <cellStyle name="Percent 8 2 2 2 2" xfId="15777" xr:uid="{00000000-0005-0000-0000-0000B93D0000}"/>
    <cellStyle name="Percent 8 2 2 2 2 2" xfId="15778" xr:uid="{00000000-0005-0000-0000-0000BA3D0000}"/>
    <cellStyle name="Percent 8 2 2 2 2 2 2" xfId="15779" xr:uid="{00000000-0005-0000-0000-0000BB3D0000}"/>
    <cellStyle name="Percent 8 2 2 2 2 3" xfId="15780" xr:uid="{00000000-0005-0000-0000-0000BC3D0000}"/>
    <cellStyle name="Percent 8 2 2 2 2 3 2" xfId="15781" xr:uid="{00000000-0005-0000-0000-0000BD3D0000}"/>
    <cellStyle name="Percent 8 2 2 2 2 4" xfId="15782" xr:uid="{00000000-0005-0000-0000-0000BE3D0000}"/>
    <cellStyle name="Percent 8 2 2 2 3" xfId="15783" xr:uid="{00000000-0005-0000-0000-0000BF3D0000}"/>
    <cellStyle name="Percent 8 2 2 2 3 2" xfId="15784" xr:uid="{00000000-0005-0000-0000-0000C03D0000}"/>
    <cellStyle name="Percent 8 2 2 2 3 2 2" xfId="15785" xr:uid="{00000000-0005-0000-0000-0000C13D0000}"/>
    <cellStyle name="Percent 8 2 2 2 3 3" xfId="15786" xr:uid="{00000000-0005-0000-0000-0000C23D0000}"/>
    <cellStyle name="Percent 8 2 2 2 4" xfId="15787" xr:uid="{00000000-0005-0000-0000-0000C33D0000}"/>
    <cellStyle name="Percent 8 2 2 2 4 2" xfId="15788" xr:uid="{00000000-0005-0000-0000-0000C43D0000}"/>
    <cellStyle name="Percent 8 2 2 2 5" xfId="15789" xr:uid="{00000000-0005-0000-0000-0000C53D0000}"/>
    <cellStyle name="Percent 8 2 2 2 5 2" xfId="15790" xr:uid="{00000000-0005-0000-0000-0000C63D0000}"/>
    <cellStyle name="Percent 8 2 2 2 6" xfId="15791" xr:uid="{00000000-0005-0000-0000-0000C73D0000}"/>
    <cellStyle name="Percent 8 2 2 3" xfId="15792" xr:uid="{00000000-0005-0000-0000-0000C83D0000}"/>
    <cellStyle name="Percent 8 2 2 3 2" xfId="15793" xr:uid="{00000000-0005-0000-0000-0000C93D0000}"/>
    <cellStyle name="Percent 8 2 2 3 2 2" xfId="15794" xr:uid="{00000000-0005-0000-0000-0000CA3D0000}"/>
    <cellStyle name="Percent 8 2 2 3 3" xfId="15795" xr:uid="{00000000-0005-0000-0000-0000CB3D0000}"/>
    <cellStyle name="Percent 8 2 2 3 3 2" xfId="15796" xr:uid="{00000000-0005-0000-0000-0000CC3D0000}"/>
    <cellStyle name="Percent 8 2 2 3 4" xfId="15797" xr:uid="{00000000-0005-0000-0000-0000CD3D0000}"/>
    <cellStyle name="Percent 8 2 2 4" xfId="15798" xr:uid="{00000000-0005-0000-0000-0000CE3D0000}"/>
    <cellStyle name="Percent 8 2 2 4 2" xfId="15799" xr:uid="{00000000-0005-0000-0000-0000CF3D0000}"/>
    <cellStyle name="Percent 8 2 2 4 2 2" xfId="15800" xr:uid="{00000000-0005-0000-0000-0000D03D0000}"/>
    <cellStyle name="Percent 8 2 2 4 3" xfId="15801" xr:uid="{00000000-0005-0000-0000-0000D13D0000}"/>
    <cellStyle name="Percent 8 2 2 5" xfId="15802" xr:uid="{00000000-0005-0000-0000-0000D23D0000}"/>
    <cellStyle name="Percent 8 2 2 5 2" xfId="15803" xr:uid="{00000000-0005-0000-0000-0000D33D0000}"/>
    <cellStyle name="Percent 8 2 2 6" xfId="15804" xr:uid="{00000000-0005-0000-0000-0000D43D0000}"/>
    <cellStyle name="Percent 8 2 2 6 2" xfId="15805" xr:uid="{00000000-0005-0000-0000-0000D53D0000}"/>
    <cellStyle name="Percent 8 2 2 7" xfId="15806" xr:uid="{00000000-0005-0000-0000-0000D63D0000}"/>
    <cellStyle name="Percent 8 2 3" xfId="15807" xr:uid="{00000000-0005-0000-0000-0000D73D0000}"/>
    <cellStyle name="Percent 8 2 3 2" xfId="15808" xr:uid="{00000000-0005-0000-0000-0000D83D0000}"/>
    <cellStyle name="Percent 8 2 3 2 2" xfId="15809" xr:uid="{00000000-0005-0000-0000-0000D93D0000}"/>
    <cellStyle name="Percent 8 2 3 2 2 2" xfId="15810" xr:uid="{00000000-0005-0000-0000-0000DA3D0000}"/>
    <cellStyle name="Percent 8 2 3 2 2 2 2" xfId="15811" xr:uid="{00000000-0005-0000-0000-0000DB3D0000}"/>
    <cellStyle name="Percent 8 2 3 2 2 3" xfId="15812" xr:uid="{00000000-0005-0000-0000-0000DC3D0000}"/>
    <cellStyle name="Percent 8 2 3 2 2 3 2" xfId="15813" xr:uid="{00000000-0005-0000-0000-0000DD3D0000}"/>
    <cellStyle name="Percent 8 2 3 2 2 4" xfId="15814" xr:uid="{00000000-0005-0000-0000-0000DE3D0000}"/>
    <cellStyle name="Percent 8 2 3 2 3" xfId="15815" xr:uid="{00000000-0005-0000-0000-0000DF3D0000}"/>
    <cellStyle name="Percent 8 2 3 2 3 2" xfId="15816" xr:uid="{00000000-0005-0000-0000-0000E03D0000}"/>
    <cellStyle name="Percent 8 2 3 2 3 2 2" xfId="15817" xr:uid="{00000000-0005-0000-0000-0000E13D0000}"/>
    <cellStyle name="Percent 8 2 3 2 3 3" xfId="15818" xr:uid="{00000000-0005-0000-0000-0000E23D0000}"/>
    <cellStyle name="Percent 8 2 3 2 4" xfId="15819" xr:uid="{00000000-0005-0000-0000-0000E33D0000}"/>
    <cellStyle name="Percent 8 2 3 2 4 2" xfId="15820" xr:uid="{00000000-0005-0000-0000-0000E43D0000}"/>
    <cellStyle name="Percent 8 2 3 2 5" xfId="15821" xr:uid="{00000000-0005-0000-0000-0000E53D0000}"/>
    <cellStyle name="Percent 8 2 3 2 5 2" xfId="15822" xr:uid="{00000000-0005-0000-0000-0000E63D0000}"/>
    <cellStyle name="Percent 8 2 3 2 6" xfId="15823" xr:uid="{00000000-0005-0000-0000-0000E73D0000}"/>
    <cellStyle name="Percent 8 2 3 3" xfId="15824" xr:uid="{00000000-0005-0000-0000-0000E83D0000}"/>
    <cellStyle name="Percent 8 2 3 3 2" xfId="15825" xr:uid="{00000000-0005-0000-0000-0000E93D0000}"/>
    <cellStyle name="Percent 8 2 3 3 2 2" xfId="15826" xr:uid="{00000000-0005-0000-0000-0000EA3D0000}"/>
    <cellStyle name="Percent 8 2 3 3 3" xfId="15827" xr:uid="{00000000-0005-0000-0000-0000EB3D0000}"/>
    <cellStyle name="Percent 8 2 3 3 3 2" xfId="15828" xr:uid="{00000000-0005-0000-0000-0000EC3D0000}"/>
    <cellStyle name="Percent 8 2 3 3 4" xfId="15829" xr:uid="{00000000-0005-0000-0000-0000ED3D0000}"/>
    <cellStyle name="Percent 8 2 3 4" xfId="15830" xr:uid="{00000000-0005-0000-0000-0000EE3D0000}"/>
    <cellStyle name="Percent 8 2 3 4 2" xfId="15831" xr:uid="{00000000-0005-0000-0000-0000EF3D0000}"/>
    <cellStyle name="Percent 8 2 3 4 2 2" xfId="15832" xr:uid="{00000000-0005-0000-0000-0000F03D0000}"/>
    <cellStyle name="Percent 8 2 3 4 3" xfId="15833" xr:uid="{00000000-0005-0000-0000-0000F13D0000}"/>
    <cellStyle name="Percent 8 2 3 5" xfId="15834" xr:uid="{00000000-0005-0000-0000-0000F23D0000}"/>
    <cellStyle name="Percent 8 2 3 5 2" xfId="15835" xr:uid="{00000000-0005-0000-0000-0000F33D0000}"/>
    <cellStyle name="Percent 8 2 3 6" xfId="15836" xr:uid="{00000000-0005-0000-0000-0000F43D0000}"/>
    <cellStyle name="Percent 8 2 3 6 2" xfId="15837" xr:uid="{00000000-0005-0000-0000-0000F53D0000}"/>
    <cellStyle name="Percent 8 2 3 7" xfId="15838" xr:uid="{00000000-0005-0000-0000-0000F63D0000}"/>
    <cellStyle name="Percent 8 2 4" xfId="15839" xr:uid="{00000000-0005-0000-0000-0000F73D0000}"/>
    <cellStyle name="Percent 8 2 4 2" xfId="15840" xr:uid="{00000000-0005-0000-0000-0000F83D0000}"/>
    <cellStyle name="Percent 8 3" xfId="15841" xr:uid="{00000000-0005-0000-0000-0000F93D0000}"/>
    <cellStyle name="Percent 8 3 2" xfId="15842" xr:uid="{00000000-0005-0000-0000-0000FA3D0000}"/>
    <cellStyle name="Percent 8 3 2 2" xfId="15843" xr:uid="{00000000-0005-0000-0000-0000FB3D0000}"/>
    <cellStyle name="Percent 8 3 2 2 2" xfId="15844" xr:uid="{00000000-0005-0000-0000-0000FC3D0000}"/>
    <cellStyle name="Percent 8 3 2 2 2 2" xfId="15845" xr:uid="{00000000-0005-0000-0000-0000FD3D0000}"/>
    <cellStyle name="Percent 8 3 2 2 3" xfId="15846" xr:uid="{00000000-0005-0000-0000-0000FE3D0000}"/>
    <cellStyle name="Percent 8 3 2 2 3 2" xfId="15847" xr:uid="{00000000-0005-0000-0000-0000FF3D0000}"/>
    <cellStyle name="Percent 8 3 2 2 4" xfId="15848" xr:uid="{00000000-0005-0000-0000-0000003E0000}"/>
    <cellStyle name="Percent 8 3 2 3" xfId="15849" xr:uid="{00000000-0005-0000-0000-0000013E0000}"/>
    <cellStyle name="Percent 8 3 2 3 2" xfId="15850" xr:uid="{00000000-0005-0000-0000-0000023E0000}"/>
    <cellStyle name="Percent 8 3 2 3 2 2" xfId="15851" xr:uid="{00000000-0005-0000-0000-0000033E0000}"/>
    <cellStyle name="Percent 8 3 2 3 3" xfId="15852" xr:uid="{00000000-0005-0000-0000-0000043E0000}"/>
    <cellStyle name="Percent 8 3 2 4" xfId="15853" xr:uid="{00000000-0005-0000-0000-0000053E0000}"/>
    <cellStyle name="Percent 8 3 2 4 2" xfId="15854" xr:uid="{00000000-0005-0000-0000-0000063E0000}"/>
    <cellStyle name="Percent 8 3 2 5" xfId="15855" xr:uid="{00000000-0005-0000-0000-0000073E0000}"/>
    <cellStyle name="Percent 8 3 2 5 2" xfId="15856" xr:uid="{00000000-0005-0000-0000-0000083E0000}"/>
    <cellStyle name="Percent 8 3 2 6" xfId="15857" xr:uid="{00000000-0005-0000-0000-0000093E0000}"/>
    <cellStyle name="Percent 8 3 3" xfId="15858" xr:uid="{00000000-0005-0000-0000-00000A3E0000}"/>
    <cellStyle name="Percent 8 3 3 2" xfId="15859" xr:uid="{00000000-0005-0000-0000-00000B3E0000}"/>
    <cellStyle name="Percent 8 3 3 2 2" xfId="15860" xr:uid="{00000000-0005-0000-0000-00000C3E0000}"/>
    <cellStyle name="Percent 8 3 3 3" xfId="15861" xr:uid="{00000000-0005-0000-0000-00000D3E0000}"/>
    <cellStyle name="Percent 8 3 3 3 2" xfId="15862" xr:uid="{00000000-0005-0000-0000-00000E3E0000}"/>
    <cellStyle name="Percent 8 3 3 4" xfId="15863" xr:uid="{00000000-0005-0000-0000-00000F3E0000}"/>
    <cellStyle name="Percent 8 3 4" xfId="15864" xr:uid="{00000000-0005-0000-0000-0000103E0000}"/>
    <cellStyle name="Percent 8 3 4 2" xfId="15865" xr:uid="{00000000-0005-0000-0000-0000113E0000}"/>
    <cellStyle name="Percent 8 3 4 2 2" xfId="15866" xr:uid="{00000000-0005-0000-0000-0000123E0000}"/>
    <cellStyle name="Percent 8 3 4 3" xfId="15867" xr:uid="{00000000-0005-0000-0000-0000133E0000}"/>
    <cellStyle name="Percent 8 3 5" xfId="15868" xr:uid="{00000000-0005-0000-0000-0000143E0000}"/>
    <cellStyle name="Percent 8 3 5 2" xfId="15869" xr:uid="{00000000-0005-0000-0000-0000153E0000}"/>
    <cellStyle name="Percent 8 3 6" xfId="15870" xr:uid="{00000000-0005-0000-0000-0000163E0000}"/>
    <cellStyle name="Percent 8 3 6 2" xfId="15871" xr:uid="{00000000-0005-0000-0000-0000173E0000}"/>
    <cellStyle name="Percent 8 3 7" xfId="15872" xr:uid="{00000000-0005-0000-0000-0000183E0000}"/>
    <cellStyle name="Percent 8 4" xfId="15873" xr:uid="{00000000-0005-0000-0000-0000193E0000}"/>
    <cellStyle name="Percent 8 4 2" xfId="15874" xr:uid="{00000000-0005-0000-0000-00001A3E0000}"/>
    <cellStyle name="Percent 8 4 2 2" xfId="15875" xr:uid="{00000000-0005-0000-0000-00001B3E0000}"/>
    <cellStyle name="Percent 8 4 2 2 2" xfId="15876" xr:uid="{00000000-0005-0000-0000-00001C3E0000}"/>
    <cellStyle name="Percent 8 4 2 2 2 2" xfId="15877" xr:uid="{00000000-0005-0000-0000-00001D3E0000}"/>
    <cellStyle name="Percent 8 4 2 2 3" xfId="15878" xr:uid="{00000000-0005-0000-0000-00001E3E0000}"/>
    <cellStyle name="Percent 8 4 2 2 3 2" xfId="15879" xr:uid="{00000000-0005-0000-0000-00001F3E0000}"/>
    <cellStyle name="Percent 8 4 2 2 4" xfId="15880" xr:uid="{00000000-0005-0000-0000-0000203E0000}"/>
    <cellStyle name="Percent 8 4 2 3" xfId="15881" xr:uid="{00000000-0005-0000-0000-0000213E0000}"/>
    <cellStyle name="Percent 8 4 2 3 2" xfId="15882" xr:uid="{00000000-0005-0000-0000-0000223E0000}"/>
    <cellStyle name="Percent 8 4 2 3 2 2" xfId="15883" xr:uid="{00000000-0005-0000-0000-0000233E0000}"/>
    <cellStyle name="Percent 8 4 2 3 3" xfId="15884" xr:uid="{00000000-0005-0000-0000-0000243E0000}"/>
    <cellStyle name="Percent 8 4 2 4" xfId="15885" xr:uid="{00000000-0005-0000-0000-0000253E0000}"/>
    <cellStyle name="Percent 8 4 2 4 2" xfId="15886" xr:uid="{00000000-0005-0000-0000-0000263E0000}"/>
    <cellStyle name="Percent 8 4 2 5" xfId="15887" xr:uid="{00000000-0005-0000-0000-0000273E0000}"/>
    <cellStyle name="Percent 8 4 2 5 2" xfId="15888" xr:uid="{00000000-0005-0000-0000-0000283E0000}"/>
    <cellStyle name="Percent 8 4 2 6" xfId="15889" xr:uid="{00000000-0005-0000-0000-0000293E0000}"/>
    <cellStyle name="Percent 8 4 3" xfId="15890" xr:uid="{00000000-0005-0000-0000-00002A3E0000}"/>
    <cellStyle name="Percent 8 4 3 2" xfId="15891" xr:uid="{00000000-0005-0000-0000-00002B3E0000}"/>
    <cellStyle name="Percent 8 4 3 2 2" xfId="15892" xr:uid="{00000000-0005-0000-0000-00002C3E0000}"/>
    <cellStyle name="Percent 8 4 3 3" xfId="15893" xr:uid="{00000000-0005-0000-0000-00002D3E0000}"/>
    <cellStyle name="Percent 8 4 3 3 2" xfId="15894" xr:uid="{00000000-0005-0000-0000-00002E3E0000}"/>
    <cellStyle name="Percent 8 4 3 4" xfId="15895" xr:uid="{00000000-0005-0000-0000-00002F3E0000}"/>
    <cellStyle name="Percent 8 4 4" xfId="15896" xr:uid="{00000000-0005-0000-0000-0000303E0000}"/>
    <cellStyle name="Percent 8 4 4 2" xfId="15897" xr:uid="{00000000-0005-0000-0000-0000313E0000}"/>
    <cellStyle name="Percent 8 4 4 2 2" xfId="15898" xr:uid="{00000000-0005-0000-0000-0000323E0000}"/>
    <cellStyle name="Percent 8 4 4 3" xfId="15899" xr:uid="{00000000-0005-0000-0000-0000333E0000}"/>
    <cellStyle name="Percent 8 4 5" xfId="15900" xr:uid="{00000000-0005-0000-0000-0000343E0000}"/>
    <cellStyle name="Percent 8 4 5 2" xfId="15901" xr:uid="{00000000-0005-0000-0000-0000353E0000}"/>
    <cellStyle name="Percent 8 4 6" xfId="15902" xr:uid="{00000000-0005-0000-0000-0000363E0000}"/>
    <cellStyle name="Percent 8 4 6 2" xfId="15903" xr:uid="{00000000-0005-0000-0000-0000373E0000}"/>
    <cellStyle name="Percent 8 4 7" xfId="15904" xr:uid="{00000000-0005-0000-0000-0000383E0000}"/>
    <cellStyle name="Percent 8 5" xfId="15905" xr:uid="{00000000-0005-0000-0000-0000393E0000}"/>
    <cellStyle name="Percent 80" xfId="15906" xr:uid="{00000000-0005-0000-0000-00003A3E0000}"/>
    <cellStyle name="Percent 80 2" xfId="15907" xr:uid="{00000000-0005-0000-0000-00003B3E0000}"/>
    <cellStyle name="Percent 80 2 2" xfId="15908" xr:uid="{00000000-0005-0000-0000-00003C3E0000}"/>
    <cellStyle name="Percent 80 2 2 2" xfId="15909" xr:uid="{00000000-0005-0000-0000-00003D3E0000}"/>
    <cellStyle name="Percent 80 2 2 2 2" xfId="15910" xr:uid="{00000000-0005-0000-0000-00003E3E0000}"/>
    <cellStyle name="Percent 80 2 2 2 2 2" xfId="15911" xr:uid="{00000000-0005-0000-0000-00003F3E0000}"/>
    <cellStyle name="Percent 80 2 2 2 3" xfId="15912" xr:uid="{00000000-0005-0000-0000-0000403E0000}"/>
    <cellStyle name="Percent 80 2 2 2 3 2" xfId="15913" xr:uid="{00000000-0005-0000-0000-0000413E0000}"/>
    <cellStyle name="Percent 80 2 2 2 4" xfId="15914" xr:uid="{00000000-0005-0000-0000-0000423E0000}"/>
    <cellStyle name="Percent 80 2 2 3" xfId="15915" xr:uid="{00000000-0005-0000-0000-0000433E0000}"/>
    <cellStyle name="Percent 80 2 2 3 2" xfId="15916" xr:uid="{00000000-0005-0000-0000-0000443E0000}"/>
    <cellStyle name="Percent 80 2 2 3 2 2" xfId="15917" xr:uid="{00000000-0005-0000-0000-0000453E0000}"/>
    <cellStyle name="Percent 80 2 2 3 3" xfId="15918" xr:uid="{00000000-0005-0000-0000-0000463E0000}"/>
    <cellStyle name="Percent 80 2 2 4" xfId="15919" xr:uid="{00000000-0005-0000-0000-0000473E0000}"/>
    <cellStyle name="Percent 80 2 2 4 2" xfId="15920" xr:uid="{00000000-0005-0000-0000-0000483E0000}"/>
    <cellStyle name="Percent 80 2 2 5" xfId="15921" xr:uid="{00000000-0005-0000-0000-0000493E0000}"/>
    <cellStyle name="Percent 80 2 2 5 2" xfId="15922" xr:uid="{00000000-0005-0000-0000-00004A3E0000}"/>
    <cellStyle name="Percent 80 2 2 6" xfId="15923" xr:uid="{00000000-0005-0000-0000-00004B3E0000}"/>
    <cellStyle name="Percent 80 2 3" xfId="15924" xr:uid="{00000000-0005-0000-0000-00004C3E0000}"/>
    <cellStyle name="Percent 80 2 3 2" xfId="15925" xr:uid="{00000000-0005-0000-0000-00004D3E0000}"/>
    <cellStyle name="Percent 80 2 3 2 2" xfId="15926" xr:uid="{00000000-0005-0000-0000-00004E3E0000}"/>
    <cellStyle name="Percent 80 2 3 3" xfId="15927" xr:uid="{00000000-0005-0000-0000-00004F3E0000}"/>
    <cellStyle name="Percent 80 2 3 3 2" xfId="15928" xr:uid="{00000000-0005-0000-0000-0000503E0000}"/>
    <cellStyle name="Percent 80 2 3 4" xfId="15929" xr:uid="{00000000-0005-0000-0000-0000513E0000}"/>
    <cellStyle name="Percent 80 2 4" xfId="15930" xr:uid="{00000000-0005-0000-0000-0000523E0000}"/>
    <cellStyle name="Percent 80 2 4 2" xfId="15931" xr:uid="{00000000-0005-0000-0000-0000533E0000}"/>
    <cellStyle name="Percent 80 2 4 2 2" xfId="15932" xr:uid="{00000000-0005-0000-0000-0000543E0000}"/>
    <cellStyle name="Percent 80 2 4 3" xfId="15933" xr:uid="{00000000-0005-0000-0000-0000553E0000}"/>
    <cellStyle name="Percent 80 2 5" xfId="15934" xr:uid="{00000000-0005-0000-0000-0000563E0000}"/>
    <cellStyle name="Percent 80 2 5 2" xfId="15935" xr:uid="{00000000-0005-0000-0000-0000573E0000}"/>
    <cellStyle name="Percent 80 2 6" xfId="15936" xr:uid="{00000000-0005-0000-0000-0000583E0000}"/>
    <cellStyle name="Percent 80 2 6 2" xfId="15937" xr:uid="{00000000-0005-0000-0000-0000593E0000}"/>
    <cellStyle name="Percent 80 2 7" xfId="15938" xr:uid="{00000000-0005-0000-0000-00005A3E0000}"/>
    <cellStyle name="Percent 80 3" xfId="15939" xr:uid="{00000000-0005-0000-0000-00005B3E0000}"/>
    <cellStyle name="Percent 80 3 2" xfId="15940" xr:uid="{00000000-0005-0000-0000-00005C3E0000}"/>
    <cellStyle name="Percent 80 3 2 2" xfId="15941" xr:uid="{00000000-0005-0000-0000-00005D3E0000}"/>
    <cellStyle name="Percent 80 3 2 2 2" xfId="15942" xr:uid="{00000000-0005-0000-0000-00005E3E0000}"/>
    <cellStyle name="Percent 80 3 2 3" xfId="15943" xr:uid="{00000000-0005-0000-0000-00005F3E0000}"/>
    <cellStyle name="Percent 80 3 2 3 2" xfId="15944" xr:uid="{00000000-0005-0000-0000-0000603E0000}"/>
    <cellStyle name="Percent 80 3 2 4" xfId="15945" xr:uid="{00000000-0005-0000-0000-0000613E0000}"/>
    <cellStyle name="Percent 80 3 3" xfId="15946" xr:uid="{00000000-0005-0000-0000-0000623E0000}"/>
    <cellStyle name="Percent 80 3 3 2" xfId="15947" xr:uid="{00000000-0005-0000-0000-0000633E0000}"/>
    <cellStyle name="Percent 80 3 3 2 2" xfId="15948" xr:uid="{00000000-0005-0000-0000-0000643E0000}"/>
    <cellStyle name="Percent 80 3 3 3" xfId="15949" xr:uid="{00000000-0005-0000-0000-0000653E0000}"/>
    <cellStyle name="Percent 80 3 4" xfId="15950" xr:uid="{00000000-0005-0000-0000-0000663E0000}"/>
    <cellStyle name="Percent 80 3 4 2" xfId="15951" xr:uid="{00000000-0005-0000-0000-0000673E0000}"/>
    <cellStyle name="Percent 80 3 5" xfId="15952" xr:uid="{00000000-0005-0000-0000-0000683E0000}"/>
    <cellStyle name="Percent 80 3 5 2" xfId="15953" xr:uid="{00000000-0005-0000-0000-0000693E0000}"/>
    <cellStyle name="Percent 80 3 6" xfId="15954" xr:uid="{00000000-0005-0000-0000-00006A3E0000}"/>
    <cellStyle name="Percent 80 4" xfId="15955" xr:uid="{00000000-0005-0000-0000-00006B3E0000}"/>
    <cellStyle name="Percent 80 4 2" xfId="15956" xr:uid="{00000000-0005-0000-0000-00006C3E0000}"/>
    <cellStyle name="Percent 80 4 2 2" xfId="15957" xr:uid="{00000000-0005-0000-0000-00006D3E0000}"/>
    <cellStyle name="Percent 80 4 3" xfId="15958" xr:uid="{00000000-0005-0000-0000-00006E3E0000}"/>
    <cellStyle name="Percent 80 4 3 2" xfId="15959" xr:uid="{00000000-0005-0000-0000-00006F3E0000}"/>
    <cellStyle name="Percent 80 4 4" xfId="15960" xr:uid="{00000000-0005-0000-0000-0000703E0000}"/>
    <cellStyle name="Percent 80 5" xfId="15961" xr:uid="{00000000-0005-0000-0000-0000713E0000}"/>
    <cellStyle name="Percent 80 5 2" xfId="15962" xr:uid="{00000000-0005-0000-0000-0000723E0000}"/>
    <cellStyle name="Percent 80 5 2 2" xfId="15963" xr:uid="{00000000-0005-0000-0000-0000733E0000}"/>
    <cellStyle name="Percent 80 5 3" xfId="15964" xr:uid="{00000000-0005-0000-0000-0000743E0000}"/>
    <cellStyle name="Percent 80 6" xfId="15965" xr:uid="{00000000-0005-0000-0000-0000753E0000}"/>
    <cellStyle name="Percent 80 6 2" xfId="15966" xr:uid="{00000000-0005-0000-0000-0000763E0000}"/>
    <cellStyle name="Percent 80 7" xfId="15967" xr:uid="{00000000-0005-0000-0000-0000773E0000}"/>
    <cellStyle name="Percent 80 7 2" xfId="15968" xr:uid="{00000000-0005-0000-0000-0000783E0000}"/>
    <cellStyle name="Percent 80 8" xfId="15969" xr:uid="{00000000-0005-0000-0000-0000793E0000}"/>
    <cellStyle name="Percent 81" xfId="15970" xr:uid="{00000000-0005-0000-0000-00007A3E0000}"/>
    <cellStyle name="Percent 81 2" xfId="15971" xr:uid="{00000000-0005-0000-0000-00007B3E0000}"/>
    <cellStyle name="Percent 81 2 2" xfId="15972" xr:uid="{00000000-0005-0000-0000-00007C3E0000}"/>
    <cellStyle name="Percent 81 2 2 2" xfId="15973" xr:uid="{00000000-0005-0000-0000-00007D3E0000}"/>
    <cellStyle name="Percent 81 2 2 2 2" xfId="15974" xr:uid="{00000000-0005-0000-0000-00007E3E0000}"/>
    <cellStyle name="Percent 81 2 2 2 2 2" xfId="15975" xr:uid="{00000000-0005-0000-0000-00007F3E0000}"/>
    <cellStyle name="Percent 81 2 2 2 3" xfId="15976" xr:uid="{00000000-0005-0000-0000-0000803E0000}"/>
    <cellStyle name="Percent 81 2 2 2 3 2" xfId="15977" xr:uid="{00000000-0005-0000-0000-0000813E0000}"/>
    <cellStyle name="Percent 81 2 2 2 4" xfId="15978" xr:uid="{00000000-0005-0000-0000-0000823E0000}"/>
    <cellStyle name="Percent 81 2 2 3" xfId="15979" xr:uid="{00000000-0005-0000-0000-0000833E0000}"/>
    <cellStyle name="Percent 81 2 2 3 2" xfId="15980" xr:uid="{00000000-0005-0000-0000-0000843E0000}"/>
    <cellStyle name="Percent 81 2 2 3 2 2" xfId="15981" xr:uid="{00000000-0005-0000-0000-0000853E0000}"/>
    <cellStyle name="Percent 81 2 2 3 3" xfId="15982" xr:uid="{00000000-0005-0000-0000-0000863E0000}"/>
    <cellStyle name="Percent 81 2 2 4" xfId="15983" xr:uid="{00000000-0005-0000-0000-0000873E0000}"/>
    <cellStyle name="Percent 81 2 2 4 2" xfId="15984" xr:uid="{00000000-0005-0000-0000-0000883E0000}"/>
    <cellStyle name="Percent 81 2 2 5" xfId="15985" xr:uid="{00000000-0005-0000-0000-0000893E0000}"/>
    <cellStyle name="Percent 81 2 2 5 2" xfId="15986" xr:uid="{00000000-0005-0000-0000-00008A3E0000}"/>
    <cellStyle name="Percent 81 2 2 6" xfId="15987" xr:uid="{00000000-0005-0000-0000-00008B3E0000}"/>
    <cellStyle name="Percent 81 2 3" xfId="15988" xr:uid="{00000000-0005-0000-0000-00008C3E0000}"/>
    <cellStyle name="Percent 81 2 3 2" xfId="15989" xr:uid="{00000000-0005-0000-0000-00008D3E0000}"/>
    <cellStyle name="Percent 81 2 3 2 2" xfId="15990" xr:uid="{00000000-0005-0000-0000-00008E3E0000}"/>
    <cellStyle name="Percent 81 2 3 3" xfId="15991" xr:uid="{00000000-0005-0000-0000-00008F3E0000}"/>
    <cellStyle name="Percent 81 2 3 3 2" xfId="15992" xr:uid="{00000000-0005-0000-0000-0000903E0000}"/>
    <cellStyle name="Percent 81 2 3 4" xfId="15993" xr:uid="{00000000-0005-0000-0000-0000913E0000}"/>
    <cellStyle name="Percent 81 2 4" xfId="15994" xr:uid="{00000000-0005-0000-0000-0000923E0000}"/>
    <cellStyle name="Percent 81 2 4 2" xfId="15995" xr:uid="{00000000-0005-0000-0000-0000933E0000}"/>
    <cellStyle name="Percent 81 2 4 2 2" xfId="15996" xr:uid="{00000000-0005-0000-0000-0000943E0000}"/>
    <cellStyle name="Percent 81 2 4 3" xfId="15997" xr:uid="{00000000-0005-0000-0000-0000953E0000}"/>
    <cellStyle name="Percent 81 2 5" xfId="15998" xr:uid="{00000000-0005-0000-0000-0000963E0000}"/>
    <cellStyle name="Percent 81 2 5 2" xfId="15999" xr:uid="{00000000-0005-0000-0000-0000973E0000}"/>
    <cellStyle name="Percent 81 2 6" xfId="16000" xr:uid="{00000000-0005-0000-0000-0000983E0000}"/>
    <cellStyle name="Percent 81 2 6 2" xfId="16001" xr:uid="{00000000-0005-0000-0000-0000993E0000}"/>
    <cellStyle name="Percent 81 2 7" xfId="16002" xr:uid="{00000000-0005-0000-0000-00009A3E0000}"/>
    <cellStyle name="Percent 81 3" xfId="16003" xr:uid="{00000000-0005-0000-0000-00009B3E0000}"/>
    <cellStyle name="Percent 81 3 2" xfId="16004" xr:uid="{00000000-0005-0000-0000-00009C3E0000}"/>
    <cellStyle name="Percent 81 3 2 2" xfId="16005" xr:uid="{00000000-0005-0000-0000-00009D3E0000}"/>
    <cellStyle name="Percent 81 3 2 2 2" xfId="16006" xr:uid="{00000000-0005-0000-0000-00009E3E0000}"/>
    <cellStyle name="Percent 81 3 2 3" xfId="16007" xr:uid="{00000000-0005-0000-0000-00009F3E0000}"/>
    <cellStyle name="Percent 81 3 2 3 2" xfId="16008" xr:uid="{00000000-0005-0000-0000-0000A03E0000}"/>
    <cellStyle name="Percent 81 3 2 4" xfId="16009" xr:uid="{00000000-0005-0000-0000-0000A13E0000}"/>
    <cellStyle name="Percent 81 3 3" xfId="16010" xr:uid="{00000000-0005-0000-0000-0000A23E0000}"/>
    <cellStyle name="Percent 81 3 3 2" xfId="16011" xr:uid="{00000000-0005-0000-0000-0000A33E0000}"/>
    <cellStyle name="Percent 81 3 3 2 2" xfId="16012" xr:uid="{00000000-0005-0000-0000-0000A43E0000}"/>
    <cellStyle name="Percent 81 3 3 3" xfId="16013" xr:uid="{00000000-0005-0000-0000-0000A53E0000}"/>
    <cellStyle name="Percent 81 3 4" xfId="16014" xr:uid="{00000000-0005-0000-0000-0000A63E0000}"/>
    <cellStyle name="Percent 81 3 4 2" xfId="16015" xr:uid="{00000000-0005-0000-0000-0000A73E0000}"/>
    <cellStyle name="Percent 81 3 5" xfId="16016" xr:uid="{00000000-0005-0000-0000-0000A83E0000}"/>
    <cellStyle name="Percent 81 3 5 2" xfId="16017" xr:uid="{00000000-0005-0000-0000-0000A93E0000}"/>
    <cellStyle name="Percent 81 3 6" xfId="16018" xr:uid="{00000000-0005-0000-0000-0000AA3E0000}"/>
    <cellStyle name="Percent 81 4" xfId="16019" xr:uid="{00000000-0005-0000-0000-0000AB3E0000}"/>
    <cellStyle name="Percent 81 4 2" xfId="16020" xr:uid="{00000000-0005-0000-0000-0000AC3E0000}"/>
    <cellStyle name="Percent 81 4 2 2" xfId="16021" xr:uid="{00000000-0005-0000-0000-0000AD3E0000}"/>
    <cellStyle name="Percent 81 4 3" xfId="16022" xr:uid="{00000000-0005-0000-0000-0000AE3E0000}"/>
    <cellStyle name="Percent 81 4 3 2" xfId="16023" xr:uid="{00000000-0005-0000-0000-0000AF3E0000}"/>
    <cellStyle name="Percent 81 4 4" xfId="16024" xr:uid="{00000000-0005-0000-0000-0000B03E0000}"/>
    <cellStyle name="Percent 81 5" xfId="16025" xr:uid="{00000000-0005-0000-0000-0000B13E0000}"/>
    <cellStyle name="Percent 81 5 2" xfId="16026" xr:uid="{00000000-0005-0000-0000-0000B23E0000}"/>
    <cellStyle name="Percent 81 5 2 2" xfId="16027" xr:uid="{00000000-0005-0000-0000-0000B33E0000}"/>
    <cellStyle name="Percent 81 5 3" xfId="16028" xr:uid="{00000000-0005-0000-0000-0000B43E0000}"/>
    <cellStyle name="Percent 81 6" xfId="16029" xr:uid="{00000000-0005-0000-0000-0000B53E0000}"/>
    <cellStyle name="Percent 81 6 2" xfId="16030" xr:uid="{00000000-0005-0000-0000-0000B63E0000}"/>
    <cellStyle name="Percent 81 7" xfId="16031" xr:uid="{00000000-0005-0000-0000-0000B73E0000}"/>
    <cellStyle name="Percent 81 7 2" xfId="16032" xr:uid="{00000000-0005-0000-0000-0000B83E0000}"/>
    <cellStyle name="Percent 81 8" xfId="16033" xr:uid="{00000000-0005-0000-0000-0000B93E0000}"/>
    <cellStyle name="Percent 82" xfId="16034" xr:uid="{00000000-0005-0000-0000-0000BA3E0000}"/>
    <cellStyle name="Percent 82 2" xfId="16035" xr:uid="{00000000-0005-0000-0000-0000BB3E0000}"/>
    <cellStyle name="Percent 82 2 2" xfId="16036" xr:uid="{00000000-0005-0000-0000-0000BC3E0000}"/>
    <cellStyle name="Percent 82 2 2 2" xfId="16037" xr:uid="{00000000-0005-0000-0000-0000BD3E0000}"/>
    <cellStyle name="Percent 82 2 2 2 2" xfId="16038" xr:uid="{00000000-0005-0000-0000-0000BE3E0000}"/>
    <cellStyle name="Percent 82 2 2 2 2 2" xfId="16039" xr:uid="{00000000-0005-0000-0000-0000BF3E0000}"/>
    <cellStyle name="Percent 82 2 2 2 3" xfId="16040" xr:uid="{00000000-0005-0000-0000-0000C03E0000}"/>
    <cellStyle name="Percent 82 2 2 2 3 2" xfId="16041" xr:uid="{00000000-0005-0000-0000-0000C13E0000}"/>
    <cellStyle name="Percent 82 2 2 2 4" xfId="16042" xr:uid="{00000000-0005-0000-0000-0000C23E0000}"/>
    <cellStyle name="Percent 82 2 2 3" xfId="16043" xr:uid="{00000000-0005-0000-0000-0000C33E0000}"/>
    <cellStyle name="Percent 82 2 2 3 2" xfId="16044" xr:uid="{00000000-0005-0000-0000-0000C43E0000}"/>
    <cellStyle name="Percent 82 2 2 3 2 2" xfId="16045" xr:uid="{00000000-0005-0000-0000-0000C53E0000}"/>
    <cellStyle name="Percent 82 2 2 3 3" xfId="16046" xr:uid="{00000000-0005-0000-0000-0000C63E0000}"/>
    <cellStyle name="Percent 82 2 2 4" xfId="16047" xr:uid="{00000000-0005-0000-0000-0000C73E0000}"/>
    <cellStyle name="Percent 82 2 2 4 2" xfId="16048" xr:uid="{00000000-0005-0000-0000-0000C83E0000}"/>
    <cellStyle name="Percent 82 2 2 5" xfId="16049" xr:uid="{00000000-0005-0000-0000-0000C93E0000}"/>
    <cellStyle name="Percent 82 2 2 5 2" xfId="16050" xr:uid="{00000000-0005-0000-0000-0000CA3E0000}"/>
    <cellStyle name="Percent 82 2 2 6" xfId="16051" xr:uid="{00000000-0005-0000-0000-0000CB3E0000}"/>
    <cellStyle name="Percent 82 2 3" xfId="16052" xr:uid="{00000000-0005-0000-0000-0000CC3E0000}"/>
    <cellStyle name="Percent 82 2 3 2" xfId="16053" xr:uid="{00000000-0005-0000-0000-0000CD3E0000}"/>
    <cellStyle name="Percent 82 2 3 2 2" xfId="16054" xr:uid="{00000000-0005-0000-0000-0000CE3E0000}"/>
    <cellStyle name="Percent 82 2 3 3" xfId="16055" xr:uid="{00000000-0005-0000-0000-0000CF3E0000}"/>
    <cellStyle name="Percent 82 2 3 3 2" xfId="16056" xr:uid="{00000000-0005-0000-0000-0000D03E0000}"/>
    <cellStyle name="Percent 82 2 3 4" xfId="16057" xr:uid="{00000000-0005-0000-0000-0000D13E0000}"/>
    <cellStyle name="Percent 82 2 4" xfId="16058" xr:uid="{00000000-0005-0000-0000-0000D23E0000}"/>
    <cellStyle name="Percent 82 2 4 2" xfId="16059" xr:uid="{00000000-0005-0000-0000-0000D33E0000}"/>
    <cellStyle name="Percent 82 2 4 2 2" xfId="16060" xr:uid="{00000000-0005-0000-0000-0000D43E0000}"/>
    <cellStyle name="Percent 82 2 4 3" xfId="16061" xr:uid="{00000000-0005-0000-0000-0000D53E0000}"/>
    <cellStyle name="Percent 82 2 5" xfId="16062" xr:uid="{00000000-0005-0000-0000-0000D63E0000}"/>
    <cellStyle name="Percent 82 2 5 2" xfId="16063" xr:uid="{00000000-0005-0000-0000-0000D73E0000}"/>
    <cellStyle name="Percent 82 2 6" xfId="16064" xr:uid="{00000000-0005-0000-0000-0000D83E0000}"/>
    <cellStyle name="Percent 82 2 6 2" xfId="16065" xr:uid="{00000000-0005-0000-0000-0000D93E0000}"/>
    <cellStyle name="Percent 82 2 7" xfId="16066" xr:uid="{00000000-0005-0000-0000-0000DA3E0000}"/>
    <cellStyle name="Percent 82 3" xfId="16067" xr:uid="{00000000-0005-0000-0000-0000DB3E0000}"/>
    <cellStyle name="Percent 82 3 2" xfId="16068" xr:uid="{00000000-0005-0000-0000-0000DC3E0000}"/>
    <cellStyle name="Percent 82 3 2 2" xfId="16069" xr:uid="{00000000-0005-0000-0000-0000DD3E0000}"/>
    <cellStyle name="Percent 82 3 2 2 2" xfId="16070" xr:uid="{00000000-0005-0000-0000-0000DE3E0000}"/>
    <cellStyle name="Percent 82 3 2 3" xfId="16071" xr:uid="{00000000-0005-0000-0000-0000DF3E0000}"/>
    <cellStyle name="Percent 82 3 2 3 2" xfId="16072" xr:uid="{00000000-0005-0000-0000-0000E03E0000}"/>
    <cellStyle name="Percent 82 3 2 4" xfId="16073" xr:uid="{00000000-0005-0000-0000-0000E13E0000}"/>
    <cellStyle name="Percent 82 3 3" xfId="16074" xr:uid="{00000000-0005-0000-0000-0000E23E0000}"/>
    <cellStyle name="Percent 82 3 3 2" xfId="16075" xr:uid="{00000000-0005-0000-0000-0000E33E0000}"/>
    <cellStyle name="Percent 82 3 3 2 2" xfId="16076" xr:uid="{00000000-0005-0000-0000-0000E43E0000}"/>
    <cellStyle name="Percent 82 3 3 3" xfId="16077" xr:uid="{00000000-0005-0000-0000-0000E53E0000}"/>
    <cellStyle name="Percent 82 3 4" xfId="16078" xr:uid="{00000000-0005-0000-0000-0000E63E0000}"/>
    <cellStyle name="Percent 82 3 4 2" xfId="16079" xr:uid="{00000000-0005-0000-0000-0000E73E0000}"/>
    <cellStyle name="Percent 82 3 5" xfId="16080" xr:uid="{00000000-0005-0000-0000-0000E83E0000}"/>
    <cellStyle name="Percent 82 3 5 2" xfId="16081" xr:uid="{00000000-0005-0000-0000-0000E93E0000}"/>
    <cellStyle name="Percent 82 3 6" xfId="16082" xr:uid="{00000000-0005-0000-0000-0000EA3E0000}"/>
    <cellStyle name="Percent 82 4" xfId="16083" xr:uid="{00000000-0005-0000-0000-0000EB3E0000}"/>
    <cellStyle name="Percent 82 4 2" xfId="16084" xr:uid="{00000000-0005-0000-0000-0000EC3E0000}"/>
    <cellStyle name="Percent 82 4 2 2" xfId="16085" xr:uid="{00000000-0005-0000-0000-0000ED3E0000}"/>
    <cellStyle name="Percent 82 4 3" xfId="16086" xr:uid="{00000000-0005-0000-0000-0000EE3E0000}"/>
    <cellStyle name="Percent 82 4 3 2" xfId="16087" xr:uid="{00000000-0005-0000-0000-0000EF3E0000}"/>
    <cellStyle name="Percent 82 4 4" xfId="16088" xr:uid="{00000000-0005-0000-0000-0000F03E0000}"/>
    <cellStyle name="Percent 82 5" xfId="16089" xr:uid="{00000000-0005-0000-0000-0000F13E0000}"/>
    <cellStyle name="Percent 82 5 2" xfId="16090" xr:uid="{00000000-0005-0000-0000-0000F23E0000}"/>
    <cellStyle name="Percent 82 5 2 2" xfId="16091" xr:uid="{00000000-0005-0000-0000-0000F33E0000}"/>
    <cellStyle name="Percent 82 5 3" xfId="16092" xr:uid="{00000000-0005-0000-0000-0000F43E0000}"/>
    <cellStyle name="Percent 82 6" xfId="16093" xr:uid="{00000000-0005-0000-0000-0000F53E0000}"/>
    <cellStyle name="Percent 82 6 2" xfId="16094" xr:uid="{00000000-0005-0000-0000-0000F63E0000}"/>
    <cellStyle name="Percent 82 7" xfId="16095" xr:uid="{00000000-0005-0000-0000-0000F73E0000}"/>
    <cellStyle name="Percent 82 7 2" xfId="16096" xr:uid="{00000000-0005-0000-0000-0000F83E0000}"/>
    <cellStyle name="Percent 82 8" xfId="16097" xr:uid="{00000000-0005-0000-0000-0000F93E0000}"/>
    <cellStyle name="Percent 83" xfId="16098" xr:uid="{00000000-0005-0000-0000-0000FA3E0000}"/>
    <cellStyle name="Percent 83 2" xfId="16099" xr:uid="{00000000-0005-0000-0000-0000FB3E0000}"/>
    <cellStyle name="Percent 83 2 2" xfId="16100" xr:uid="{00000000-0005-0000-0000-0000FC3E0000}"/>
    <cellStyle name="Percent 83 2 2 2" xfId="16101" xr:uid="{00000000-0005-0000-0000-0000FD3E0000}"/>
    <cellStyle name="Percent 83 3" xfId="16102" xr:uid="{00000000-0005-0000-0000-0000FE3E0000}"/>
    <cellStyle name="Percent 83 3 2" xfId="16103" xr:uid="{00000000-0005-0000-0000-0000FF3E0000}"/>
    <cellStyle name="Percent 83 4" xfId="16104" xr:uid="{00000000-0005-0000-0000-0000003F0000}"/>
    <cellStyle name="Percent 83 5" xfId="16105" xr:uid="{00000000-0005-0000-0000-0000013F0000}"/>
    <cellStyle name="Percent 83 6" xfId="16106" xr:uid="{00000000-0005-0000-0000-0000023F0000}"/>
    <cellStyle name="Percent 83 7" xfId="16107" xr:uid="{00000000-0005-0000-0000-0000033F0000}"/>
    <cellStyle name="Percent 84" xfId="16108" xr:uid="{00000000-0005-0000-0000-0000043F0000}"/>
    <cellStyle name="Percent 84 2" xfId="16109" xr:uid="{00000000-0005-0000-0000-0000053F0000}"/>
    <cellStyle name="Percent 85" xfId="16110" xr:uid="{00000000-0005-0000-0000-0000063F0000}"/>
    <cellStyle name="Percent 85 2" xfId="16111" xr:uid="{00000000-0005-0000-0000-0000073F0000}"/>
    <cellStyle name="Percent 86" xfId="16112" xr:uid="{00000000-0005-0000-0000-0000083F0000}"/>
    <cellStyle name="Percent 86 2" xfId="16113" xr:uid="{00000000-0005-0000-0000-0000093F0000}"/>
    <cellStyle name="Percent 86 2 2" xfId="16114" xr:uid="{00000000-0005-0000-0000-00000A3F0000}"/>
    <cellStyle name="Percent 86 2 3" xfId="16115" xr:uid="{00000000-0005-0000-0000-00000B3F0000}"/>
    <cellStyle name="Percent 86 3" xfId="16116" xr:uid="{00000000-0005-0000-0000-00000C3F0000}"/>
    <cellStyle name="Percent 86 3 2" xfId="16117" xr:uid="{00000000-0005-0000-0000-00000D3F0000}"/>
    <cellStyle name="Percent 86 4" xfId="16118" xr:uid="{00000000-0005-0000-0000-00000E3F0000}"/>
    <cellStyle name="Percent 86 4 2" xfId="16119" xr:uid="{00000000-0005-0000-0000-00000F3F0000}"/>
    <cellStyle name="Percent 86 5" xfId="16120" xr:uid="{00000000-0005-0000-0000-0000103F0000}"/>
    <cellStyle name="Percent 86 5 2" xfId="16121" xr:uid="{00000000-0005-0000-0000-0000113F0000}"/>
    <cellStyle name="Percent 86 6" xfId="16122" xr:uid="{00000000-0005-0000-0000-0000123F0000}"/>
    <cellStyle name="Percent 87" xfId="16123" xr:uid="{00000000-0005-0000-0000-0000133F0000}"/>
    <cellStyle name="Percent 87 2" xfId="16124" xr:uid="{00000000-0005-0000-0000-0000143F0000}"/>
    <cellStyle name="Percent 87 2 2" xfId="16125" xr:uid="{00000000-0005-0000-0000-0000153F0000}"/>
    <cellStyle name="Percent 87 2 2 2" xfId="16126" xr:uid="{00000000-0005-0000-0000-0000163F0000}"/>
    <cellStyle name="Percent 87 3" xfId="16127" xr:uid="{00000000-0005-0000-0000-0000173F0000}"/>
    <cellStyle name="Percent 87 3 2" xfId="16128" xr:uid="{00000000-0005-0000-0000-0000183F0000}"/>
    <cellStyle name="Percent 88" xfId="16129" xr:uid="{00000000-0005-0000-0000-0000193F0000}"/>
    <cellStyle name="Percent 88 2" xfId="16130" xr:uid="{00000000-0005-0000-0000-00001A3F0000}"/>
    <cellStyle name="Percent 89" xfId="16131" xr:uid="{00000000-0005-0000-0000-00001B3F0000}"/>
    <cellStyle name="Percent 89 2" xfId="16132" xr:uid="{00000000-0005-0000-0000-00001C3F0000}"/>
    <cellStyle name="Percent 9" xfId="248" xr:uid="{00000000-0005-0000-0000-00001D3F0000}"/>
    <cellStyle name="Percent 9 2" xfId="16133" xr:uid="{00000000-0005-0000-0000-00001E3F0000}"/>
    <cellStyle name="Percent 9 2 2" xfId="16134" xr:uid="{00000000-0005-0000-0000-00001F3F0000}"/>
    <cellStyle name="Percent 9 2 2 2" xfId="16135" xr:uid="{00000000-0005-0000-0000-0000203F0000}"/>
    <cellStyle name="Percent 9 2 2 2 2" xfId="16136" xr:uid="{00000000-0005-0000-0000-0000213F0000}"/>
    <cellStyle name="Percent 9 2 2 2 2 2" xfId="16137" xr:uid="{00000000-0005-0000-0000-0000223F0000}"/>
    <cellStyle name="Percent 9 2 2 2 2 2 2" xfId="16138" xr:uid="{00000000-0005-0000-0000-0000233F0000}"/>
    <cellStyle name="Percent 9 2 2 2 2 3" xfId="16139" xr:uid="{00000000-0005-0000-0000-0000243F0000}"/>
    <cellStyle name="Percent 9 2 2 2 2 3 2" xfId="16140" xr:uid="{00000000-0005-0000-0000-0000253F0000}"/>
    <cellStyle name="Percent 9 2 2 2 2 4" xfId="16141" xr:uid="{00000000-0005-0000-0000-0000263F0000}"/>
    <cellStyle name="Percent 9 2 2 2 3" xfId="16142" xr:uid="{00000000-0005-0000-0000-0000273F0000}"/>
    <cellStyle name="Percent 9 2 2 2 3 2" xfId="16143" xr:uid="{00000000-0005-0000-0000-0000283F0000}"/>
    <cellStyle name="Percent 9 2 2 2 3 2 2" xfId="16144" xr:uid="{00000000-0005-0000-0000-0000293F0000}"/>
    <cellStyle name="Percent 9 2 2 2 3 3" xfId="16145" xr:uid="{00000000-0005-0000-0000-00002A3F0000}"/>
    <cellStyle name="Percent 9 2 2 2 4" xfId="16146" xr:uid="{00000000-0005-0000-0000-00002B3F0000}"/>
    <cellStyle name="Percent 9 2 2 2 4 2" xfId="16147" xr:uid="{00000000-0005-0000-0000-00002C3F0000}"/>
    <cellStyle name="Percent 9 2 2 2 5" xfId="16148" xr:uid="{00000000-0005-0000-0000-00002D3F0000}"/>
    <cellStyle name="Percent 9 2 2 2 5 2" xfId="16149" xr:uid="{00000000-0005-0000-0000-00002E3F0000}"/>
    <cellStyle name="Percent 9 2 2 2 6" xfId="16150" xr:uid="{00000000-0005-0000-0000-00002F3F0000}"/>
    <cellStyle name="Percent 9 2 2 3" xfId="16151" xr:uid="{00000000-0005-0000-0000-0000303F0000}"/>
    <cellStyle name="Percent 9 2 2 3 2" xfId="16152" xr:uid="{00000000-0005-0000-0000-0000313F0000}"/>
    <cellStyle name="Percent 9 2 2 3 2 2" xfId="16153" xr:uid="{00000000-0005-0000-0000-0000323F0000}"/>
    <cellStyle name="Percent 9 2 2 3 3" xfId="16154" xr:uid="{00000000-0005-0000-0000-0000333F0000}"/>
    <cellStyle name="Percent 9 2 2 3 3 2" xfId="16155" xr:uid="{00000000-0005-0000-0000-0000343F0000}"/>
    <cellStyle name="Percent 9 2 2 3 4" xfId="16156" xr:uid="{00000000-0005-0000-0000-0000353F0000}"/>
    <cellStyle name="Percent 9 2 2 4" xfId="16157" xr:uid="{00000000-0005-0000-0000-0000363F0000}"/>
    <cellStyle name="Percent 9 2 2 4 2" xfId="16158" xr:uid="{00000000-0005-0000-0000-0000373F0000}"/>
    <cellStyle name="Percent 9 2 2 4 2 2" xfId="16159" xr:uid="{00000000-0005-0000-0000-0000383F0000}"/>
    <cellStyle name="Percent 9 2 2 4 3" xfId="16160" xr:uid="{00000000-0005-0000-0000-0000393F0000}"/>
    <cellStyle name="Percent 9 2 2 5" xfId="16161" xr:uid="{00000000-0005-0000-0000-00003A3F0000}"/>
    <cellStyle name="Percent 9 2 2 5 2" xfId="16162" xr:uid="{00000000-0005-0000-0000-00003B3F0000}"/>
    <cellStyle name="Percent 9 2 2 6" xfId="16163" xr:uid="{00000000-0005-0000-0000-00003C3F0000}"/>
    <cellStyle name="Percent 9 2 2 6 2" xfId="16164" xr:uid="{00000000-0005-0000-0000-00003D3F0000}"/>
    <cellStyle name="Percent 9 2 2 7" xfId="16165" xr:uid="{00000000-0005-0000-0000-00003E3F0000}"/>
    <cellStyle name="Percent 9 2 3" xfId="16166" xr:uid="{00000000-0005-0000-0000-00003F3F0000}"/>
    <cellStyle name="Percent 9 2 3 2" xfId="16167" xr:uid="{00000000-0005-0000-0000-0000403F0000}"/>
    <cellStyle name="Percent 9 2 3 2 2" xfId="16168" xr:uid="{00000000-0005-0000-0000-0000413F0000}"/>
    <cellStyle name="Percent 9 2 3 2 2 2" xfId="16169" xr:uid="{00000000-0005-0000-0000-0000423F0000}"/>
    <cellStyle name="Percent 9 2 3 2 2 2 2" xfId="16170" xr:uid="{00000000-0005-0000-0000-0000433F0000}"/>
    <cellStyle name="Percent 9 2 3 2 2 3" xfId="16171" xr:uid="{00000000-0005-0000-0000-0000443F0000}"/>
    <cellStyle name="Percent 9 2 3 2 2 3 2" xfId="16172" xr:uid="{00000000-0005-0000-0000-0000453F0000}"/>
    <cellStyle name="Percent 9 2 3 2 2 4" xfId="16173" xr:uid="{00000000-0005-0000-0000-0000463F0000}"/>
    <cellStyle name="Percent 9 2 3 2 3" xfId="16174" xr:uid="{00000000-0005-0000-0000-0000473F0000}"/>
    <cellStyle name="Percent 9 2 3 2 3 2" xfId="16175" xr:uid="{00000000-0005-0000-0000-0000483F0000}"/>
    <cellStyle name="Percent 9 2 3 2 3 2 2" xfId="16176" xr:uid="{00000000-0005-0000-0000-0000493F0000}"/>
    <cellStyle name="Percent 9 2 3 2 3 3" xfId="16177" xr:uid="{00000000-0005-0000-0000-00004A3F0000}"/>
    <cellStyle name="Percent 9 2 3 2 4" xfId="16178" xr:uid="{00000000-0005-0000-0000-00004B3F0000}"/>
    <cellStyle name="Percent 9 2 3 2 4 2" xfId="16179" xr:uid="{00000000-0005-0000-0000-00004C3F0000}"/>
    <cellStyle name="Percent 9 2 3 2 5" xfId="16180" xr:uid="{00000000-0005-0000-0000-00004D3F0000}"/>
    <cellStyle name="Percent 9 2 3 2 5 2" xfId="16181" xr:uid="{00000000-0005-0000-0000-00004E3F0000}"/>
    <cellStyle name="Percent 9 2 3 2 6" xfId="16182" xr:uid="{00000000-0005-0000-0000-00004F3F0000}"/>
    <cellStyle name="Percent 9 2 3 3" xfId="16183" xr:uid="{00000000-0005-0000-0000-0000503F0000}"/>
    <cellStyle name="Percent 9 2 3 3 2" xfId="16184" xr:uid="{00000000-0005-0000-0000-0000513F0000}"/>
    <cellStyle name="Percent 9 2 3 3 2 2" xfId="16185" xr:uid="{00000000-0005-0000-0000-0000523F0000}"/>
    <cellStyle name="Percent 9 2 3 3 3" xfId="16186" xr:uid="{00000000-0005-0000-0000-0000533F0000}"/>
    <cellStyle name="Percent 9 2 3 3 3 2" xfId="16187" xr:uid="{00000000-0005-0000-0000-0000543F0000}"/>
    <cellStyle name="Percent 9 2 3 3 4" xfId="16188" xr:uid="{00000000-0005-0000-0000-0000553F0000}"/>
    <cellStyle name="Percent 9 2 3 4" xfId="16189" xr:uid="{00000000-0005-0000-0000-0000563F0000}"/>
    <cellStyle name="Percent 9 2 3 4 2" xfId="16190" xr:uid="{00000000-0005-0000-0000-0000573F0000}"/>
    <cellStyle name="Percent 9 2 3 4 2 2" xfId="16191" xr:uid="{00000000-0005-0000-0000-0000583F0000}"/>
    <cellStyle name="Percent 9 2 3 4 3" xfId="16192" xr:uid="{00000000-0005-0000-0000-0000593F0000}"/>
    <cellStyle name="Percent 9 2 3 5" xfId="16193" xr:uid="{00000000-0005-0000-0000-00005A3F0000}"/>
    <cellStyle name="Percent 9 2 3 5 2" xfId="16194" xr:uid="{00000000-0005-0000-0000-00005B3F0000}"/>
    <cellStyle name="Percent 9 2 3 6" xfId="16195" xr:uid="{00000000-0005-0000-0000-00005C3F0000}"/>
    <cellStyle name="Percent 9 2 3 6 2" xfId="16196" xr:uid="{00000000-0005-0000-0000-00005D3F0000}"/>
    <cellStyle name="Percent 9 2 3 7" xfId="16197" xr:uid="{00000000-0005-0000-0000-00005E3F0000}"/>
    <cellStyle name="Percent 9 2 4" xfId="16198" xr:uid="{00000000-0005-0000-0000-00005F3F0000}"/>
    <cellStyle name="Percent 9 2 4 2" xfId="16199" xr:uid="{00000000-0005-0000-0000-0000603F0000}"/>
    <cellStyle name="Percent 9 2 4 2 2" xfId="16200" xr:uid="{00000000-0005-0000-0000-0000613F0000}"/>
    <cellStyle name="Percent 9 2 4 2 2 2" xfId="16201" xr:uid="{00000000-0005-0000-0000-0000623F0000}"/>
    <cellStyle name="Percent 9 2 4 2 3" xfId="16202" xr:uid="{00000000-0005-0000-0000-0000633F0000}"/>
    <cellStyle name="Percent 9 2 4 2 4" xfId="16203" xr:uid="{00000000-0005-0000-0000-0000643F0000}"/>
    <cellStyle name="Percent 9 2 4 2 5" xfId="16204" xr:uid="{00000000-0005-0000-0000-0000653F0000}"/>
    <cellStyle name="Percent 9 2 4 3" xfId="16205" xr:uid="{00000000-0005-0000-0000-0000663F0000}"/>
    <cellStyle name="Percent 9 2 4 3 2" xfId="16206" xr:uid="{00000000-0005-0000-0000-0000673F0000}"/>
    <cellStyle name="Percent 9 2 4 3 2 2" xfId="16207" xr:uid="{00000000-0005-0000-0000-0000683F0000}"/>
    <cellStyle name="Percent 9 2 4 3 3" xfId="16208" xr:uid="{00000000-0005-0000-0000-0000693F0000}"/>
    <cellStyle name="Percent 9 2 4 4" xfId="16209" xr:uid="{00000000-0005-0000-0000-00006A3F0000}"/>
    <cellStyle name="Percent 9 2 4 4 2" xfId="16210" xr:uid="{00000000-0005-0000-0000-00006B3F0000}"/>
    <cellStyle name="Percent 9 2 4 5" xfId="16211" xr:uid="{00000000-0005-0000-0000-00006C3F0000}"/>
    <cellStyle name="Percent 9 2 4 6" xfId="16212" xr:uid="{00000000-0005-0000-0000-00006D3F0000}"/>
    <cellStyle name="Percent 9 2 4 6 2" xfId="16213" xr:uid="{00000000-0005-0000-0000-00006E3F0000}"/>
    <cellStyle name="Percent 9 2 5" xfId="16214" xr:uid="{00000000-0005-0000-0000-00006F3F0000}"/>
    <cellStyle name="Percent 9 2 5 2" xfId="16215" xr:uid="{00000000-0005-0000-0000-0000703F0000}"/>
    <cellStyle name="Percent 9 2 5 2 2" xfId="16216" xr:uid="{00000000-0005-0000-0000-0000713F0000}"/>
    <cellStyle name="Percent 9 2 5 3" xfId="16217" xr:uid="{00000000-0005-0000-0000-0000723F0000}"/>
    <cellStyle name="Percent 9 2 5 3 2" xfId="16218" xr:uid="{00000000-0005-0000-0000-0000733F0000}"/>
    <cellStyle name="Percent 9 2 5 4" xfId="16219" xr:uid="{00000000-0005-0000-0000-0000743F0000}"/>
    <cellStyle name="Percent 9 2 6" xfId="16220" xr:uid="{00000000-0005-0000-0000-0000753F0000}"/>
    <cellStyle name="Percent 9 2 6 2" xfId="16221" xr:uid="{00000000-0005-0000-0000-0000763F0000}"/>
    <cellStyle name="Percent 9 2 6 2 2" xfId="16222" xr:uid="{00000000-0005-0000-0000-0000773F0000}"/>
    <cellStyle name="Percent 9 2 6 3" xfId="16223" xr:uid="{00000000-0005-0000-0000-0000783F0000}"/>
    <cellStyle name="Percent 9 2 7" xfId="16224" xr:uid="{00000000-0005-0000-0000-0000793F0000}"/>
    <cellStyle name="Percent 9 2 7 2" xfId="16225" xr:uid="{00000000-0005-0000-0000-00007A3F0000}"/>
    <cellStyle name="Percent 9 2 8" xfId="16226" xr:uid="{00000000-0005-0000-0000-00007B3F0000}"/>
    <cellStyle name="Percent 9 2 8 2" xfId="16227" xr:uid="{00000000-0005-0000-0000-00007C3F0000}"/>
    <cellStyle name="Percent 9 2 9" xfId="16228" xr:uid="{00000000-0005-0000-0000-00007D3F0000}"/>
    <cellStyle name="Percent 9 3" xfId="16229" xr:uid="{00000000-0005-0000-0000-00007E3F0000}"/>
    <cellStyle name="Percent 9 3 2" xfId="16230" xr:uid="{00000000-0005-0000-0000-00007F3F0000}"/>
    <cellStyle name="Percent 9 3 2 2" xfId="16231" xr:uid="{00000000-0005-0000-0000-0000803F0000}"/>
    <cellStyle name="Percent 9 3 2 2 2" xfId="16232" xr:uid="{00000000-0005-0000-0000-0000813F0000}"/>
    <cellStyle name="Percent 9 3 2 2 2 2" xfId="16233" xr:uid="{00000000-0005-0000-0000-0000823F0000}"/>
    <cellStyle name="Percent 9 3 2 2 3" xfId="16234" xr:uid="{00000000-0005-0000-0000-0000833F0000}"/>
    <cellStyle name="Percent 9 3 2 2 3 2" xfId="16235" xr:uid="{00000000-0005-0000-0000-0000843F0000}"/>
    <cellStyle name="Percent 9 3 2 2 4" xfId="16236" xr:uid="{00000000-0005-0000-0000-0000853F0000}"/>
    <cellStyle name="Percent 9 3 2 3" xfId="16237" xr:uid="{00000000-0005-0000-0000-0000863F0000}"/>
    <cellStyle name="Percent 9 3 2 3 2" xfId="16238" xr:uid="{00000000-0005-0000-0000-0000873F0000}"/>
    <cellStyle name="Percent 9 3 2 3 2 2" xfId="16239" xr:uid="{00000000-0005-0000-0000-0000883F0000}"/>
    <cellStyle name="Percent 9 3 2 3 3" xfId="16240" xr:uid="{00000000-0005-0000-0000-0000893F0000}"/>
    <cellStyle name="Percent 9 3 2 4" xfId="16241" xr:uid="{00000000-0005-0000-0000-00008A3F0000}"/>
    <cellStyle name="Percent 9 3 2 4 2" xfId="16242" xr:uid="{00000000-0005-0000-0000-00008B3F0000}"/>
    <cellStyle name="Percent 9 3 2 5" xfId="16243" xr:uid="{00000000-0005-0000-0000-00008C3F0000}"/>
    <cellStyle name="Percent 9 3 2 5 2" xfId="16244" xr:uid="{00000000-0005-0000-0000-00008D3F0000}"/>
    <cellStyle name="Percent 9 3 2 6" xfId="16245" xr:uid="{00000000-0005-0000-0000-00008E3F0000}"/>
    <cellStyle name="Percent 9 3 3" xfId="16246" xr:uid="{00000000-0005-0000-0000-00008F3F0000}"/>
    <cellStyle name="Percent 9 3 3 2" xfId="16247" xr:uid="{00000000-0005-0000-0000-0000903F0000}"/>
    <cellStyle name="Percent 9 3 3 2 2" xfId="16248" xr:uid="{00000000-0005-0000-0000-0000913F0000}"/>
    <cellStyle name="Percent 9 3 3 3" xfId="16249" xr:uid="{00000000-0005-0000-0000-0000923F0000}"/>
    <cellStyle name="Percent 9 3 3 3 2" xfId="16250" xr:uid="{00000000-0005-0000-0000-0000933F0000}"/>
    <cellStyle name="Percent 9 3 3 4" xfId="16251" xr:uid="{00000000-0005-0000-0000-0000943F0000}"/>
    <cellStyle name="Percent 9 3 4" xfId="16252" xr:uid="{00000000-0005-0000-0000-0000953F0000}"/>
    <cellStyle name="Percent 9 3 4 2" xfId="16253" xr:uid="{00000000-0005-0000-0000-0000963F0000}"/>
    <cellStyle name="Percent 9 3 4 2 2" xfId="16254" xr:uid="{00000000-0005-0000-0000-0000973F0000}"/>
    <cellStyle name="Percent 9 3 4 3" xfId="16255" xr:uid="{00000000-0005-0000-0000-0000983F0000}"/>
    <cellStyle name="Percent 9 3 5" xfId="16256" xr:uid="{00000000-0005-0000-0000-0000993F0000}"/>
    <cellStyle name="Percent 9 3 5 2" xfId="16257" xr:uid="{00000000-0005-0000-0000-00009A3F0000}"/>
    <cellStyle name="Percent 9 3 6" xfId="16258" xr:uid="{00000000-0005-0000-0000-00009B3F0000}"/>
    <cellStyle name="Percent 9 3 6 2" xfId="16259" xr:uid="{00000000-0005-0000-0000-00009C3F0000}"/>
    <cellStyle name="Percent 9 3 7" xfId="16260" xr:uid="{00000000-0005-0000-0000-00009D3F0000}"/>
    <cellStyle name="Percent 9 4" xfId="16261" xr:uid="{00000000-0005-0000-0000-00009E3F0000}"/>
    <cellStyle name="Percent 9 4 2" xfId="16262" xr:uid="{00000000-0005-0000-0000-00009F3F0000}"/>
    <cellStyle name="Percent 9 4 2 2" xfId="16263" xr:uid="{00000000-0005-0000-0000-0000A03F0000}"/>
    <cellStyle name="Percent 9 4 2 2 2" xfId="16264" xr:uid="{00000000-0005-0000-0000-0000A13F0000}"/>
    <cellStyle name="Percent 9 4 2 2 2 2" xfId="16265" xr:uid="{00000000-0005-0000-0000-0000A23F0000}"/>
    <cellStyle name="Percent 9 4 2 2 3" xfId="16266" xr:uid="{00000000-0005-0000-0000-0000A33F0000}"/>
    <cellStyle name="Percent 9 4 2 2 3 2" xfId="16267" xr:uid="{00000000-0005-0000-0000-0000A43F0000}"/>
    <cellStyle name="Percent 9 4 2 2 4" xfId="16268" xr:uid="{00000000-0005-0000-0000-0000A53F0000}"/>
    <cellStyle name="Percent 9 4 2 3" xfId="16269" xr:uid="{00000000-0005-0000-0000-0000A63F0000}"/>
    <cellStyle name="Percent 9 4 2 3 2" xfId="16270" xr:uid="{00000000-0005-0000-0000-0000A73F0000}"/>
    <cellStyle name="Percent 9 4 2 3 2 2" xfId="16271" xr:uid="{00000000-0005-0000-0000-0000A83F0000}"/>
    <cellStyle name="Percent 9 4 2 3 3" xfId="16272" xr:uid="{00000000-0005-0000-0000-0000A93F0000}"/>
    <cellStyle name="Percent 9 4 2 4" xfId="16273" xr:uid="{00000000-0005-0000-0000-0000AA3F0000}"/>
    <cellStyle name="Percent 9 4 2 4 2" xfId="16274" xr:uid="{00000000-0005-0000-0000-0000AB3F0000}"/>
    <cellStyle name="Percent 9 4 2 5" xfId="16275" xr:uid="{00000000-0005-0000-0000-0000AC3F0000}"/>
    <cellStyle name="Percent 9 4 2 5 2" xfId="16276" xr:uid="{00000000-0005-0000-0000-0000AD3F0000}"/>
    <cellStyle name="Percent 9 4 2 6" xfId="16277" xr:uid="{00000000-0005-0000-0000-0000AE3F0000}"/>
    <cellStyle name="Percent 9 4 3" xfId="16278" xr:uid="{00000000-0005-0000-0000-0000AF3F0000}"/>
    <cellStyle name="Percent 9 4 3 2" xfId="16279" xr:uid="{00000000-0005-0000-0000-0000B03F0000}"/>
    <cellStyle name="Percent 9 4 3 2 2" xfId="16280" xr:uid="{00000000-0005-0000-0000-0000B13F0000}"/>
    <cellStyle name="Percent 9 4 3 3" xfId="16281" xr:uid="{00000000-0005-0000-0000-0000B23F0000}"/>
    <cellStyle name="Percent 9 4 3 3 2" xfId="16282" xr:uid="{00000000-0005-0000-0000-0000B33F0000}"/>
    <cellStyle name="Percent 9 4 3 4" xfId="16283" xr:uid="{00000000-0005-0000-0000-0000B43F0000}"/>
    <cellStyle name="Percent 9 4 4" xfId="16284" xr:uid="{00000000-0005-0000-0000-0000B53F0000}"/>
    <cellStyle name="Percent 9 4 4 2" xfId="16285" xr:uid="{00000000-0005-0000-0000-0000B63F0000}"/>
    <cellStyle name="Percent 9 4 4 2 2" xfId="16286" xr:uid="{00000000-0005-0000-0000-0000B73F0000}"/>
    <cellStyle name="Percent 9 4 4 3" xfId="16287" xr:uid="{00000000-0005-0000-0000-0000B83F0000}"/>
    <cellStyle name="Percent 9 4 5" xfId="16288" xr:uid="{00000000-0005-0000-0000-0000B93F0000}"/>
    <cellStyle name="Percent 9 4 5 2" xfId="16289" xr:uid="{00000000-0005-0000-0000-0000BA3F0000}"/>
    <cellStyle name="Percent 9 4 6" xfId="16290" xr:uid="{00000000-0005-0000-0000-0000BB3F0000}"/>
    <cellStyle name="Percent 9 4 6 2" xfId="16291" xr:uid="{00000000-0005-0000-0000-0000BC3F0000}"/>
    <cellStyle name="Percent 9 4 7" xfId="16292" xr:uid="{00000000-0005-0000-0000-0000BD3F0000}"/>
    <cellStyle name="Percent 9 5" xfId="16293" xr:uid="{00000000-0005-0000-0000-0000BE3F0000}"/>
    <cellStyle name="Percent 9 6" xfId="16294" xr:uid="{00000000-0005-0000-0000-0000BF3F0000}"/>
    <cellStyle name="Percent 90" xfId="16295" xr:uid="{00000000-0005-0000-0000-0000C03F0000}"/>
    <cellStyle name="Percent 91" xfId="16296" xr:uid="{00000000-0005-0000-0000-0000C13F0000}"/>
    <cellStyle name="Percent 92" xfId="16297" xr:uid="{00000000-0005-0000-0000-0000C23F0000}"/>
    <cellStyle name="Percent 93" xfId="16298" xr:uid="{00000000-0005-0000-0000-0000C33F0000}"/>
    <cellStyle name="Percent 94" xfId="16299" xr:uid="{00000000-0005-0000-0000-0000C43F0000}"/>
    <cellStyle name="Percent 95" xfId="16300" xr:uid="{00000000-0005-0000-0000-0000C53F0000}"/>
    <cellStyle name="Percent 96" xfId="16301" xr:uid="{00000000-0005-0000-0000-0000C63F0000}"/>
    <cellStyle name="Percent 97" xfId="16302" xr:uid="{00000000-0005-0000-0000-0000C73F0000}"/>
    <cellStyle name="Percent 98" xfId="16303" xr:uid="{00000000-0005-0000-0000-0000C83F0000}"/>
    <cellStyle name="Percent 99" xfId="16304" xr:uid="{00000000-0005-0000-0000-0000C93F0000}"/>
    <cellStyle name="Percent Comma" xfId="16305" xr:uid="{00000000-0005-0000-0000-0000CA3F0000}"/>
    <cellStyle name="Percent Hard" xfId="16306" xr:uid="{00000000-0005-0000-0000-0000CB3F0000}"/>
    <cellStyle name="Percent input" xfId="16307" xr:uid="{00000000-0005-0000-0000-0000CC3F0000}"/>
    <cellStyle name="Percent1" xfId="16308" xr:uid="{00000000-0005-0000-0000-0000CD3F0000}"/>
    <cellStyle name="Percent1Blue" xfId="16309" xr:uid="{00000000-0005-0000-0000-0000CE3F0000}"/>
    <cellStyle name="Percent2" xfId="16310" xr:uid="{00000000-0005-0000-0000-0000CF3F0000}"/>
    <cellStyle name="Percent2Blue" xfId="16311" xr:uid="{00000000-0005-0000-0000-0000D03F0000}"/>
    <cellStyle name="percentage" xfId="16312" xr:uid="{00000000-0005-0000-0000-0000D13F0000}"/>
    <cellStyle name="PercentChange" xfId="16313" xr:uid="{00000000-0005-0000-0000-0000D23F0000}"/>
    <cellStyle name="PercentSales" xfId="16314" xr:uid="{00000000-0005-0000-0000-0000D33F0000}"/>
    <cellStyle name="Perlong" xfId="16315" xr:uid="{00000000-0005-0000-0000-0000D43F0000}"/>
    <cellStyle name="PillarData" xfId="16316" xr:uid="{00000000-0005-0000-0000-0000D53F0000}"/>
    <cellStyle name="PillarHeading" xfId="16317" xr:uid="{00000000-0005-0000-0000-0000D63F0000}"/>
    <cellStyle name="PillarText" xfId="16318" xr:uid="{00000000-0005-0000-0000-0000D73F0000}"/>
    <cellStyle name="pipeline" xfId="16319" xr:uid="{00000000-0005-0000-0000-0000D83F0000}"/>
    <cellStyle name="pound" xfId="16320" xr:uid="{00000000-0005-0000-0000-0000D93F0000}"/>
    <cellStyle name="PrePop Currency (0)" xfId="249" xr:uid="{00000000-0005-0000-0000-0000DA3F0000}"/>
    <cellStyle name="PrePop Currency (2)" xfId="250" xr:uid="{00000000-0005-0000-0000-0000DB3F0000}"/>
    <cellStyle name="PrePop Units (0)" xfId="251" xr:uid="{00000000-0005-0000-0000-0000DC3F0000}"/>
    <cellStyle name="PrePop Units (1)" xfId="252" xr:uid="{00000000-0005-0000-0000-0000DD3F0000}"/>
    <cellStyle name="PrePop Units (2)" xfId="253" xr:uid="{00000000-0005-0000-0000-0000DE3F0000}"/>
    <cellStyle name="Price" xfId="16321" xr:uid="{00000000-0005-0000-0000-0000DF3F0000}"/>
    <cellStyle name="PriceUn" xfId="16322" xr:uid="{00000000-0005-0000-0000-0000E03F0000}"/>
    <cellStyle name="prin" xfId="16323" xr:uid="{00000000-0005-0000-0000-0000E13F0000}"/>
    <cellStyle name="Product Title" xfId="16324" xr:uid="{00000000-0005-0000-0000-0000E23F0000}"/>
    <cellStyle name="PROJECT" xfId="16325" xr:uid="{00000000-0005-0000-0000-0000E33F0000}"/>
    <cellStyle name="PROJECT R" xfId="16326" xr:uid="{00000000-0005-0000-0000-0000E43F0000}"/>
    <cellStyle name="PROJECT R 2" xfId="16327" xr:uid="{00000000-0005-0000-0000-0000E53F0000}"/>
    <cellStyle name="PROJECT_~7576084" xfId="16328" xr:uid="{00000000-0005-0000-0000-0000E63F0000}"/>
    <cellStyle name="PSChar" xfId="254" xr:uid="{00000000-0005-0000-0000-0000E73F0000}"/>
    <cellStyle name="PSChar 2" xfId="16329" xr:uid="{00000000-0005-0000-0000-0000E83F0000}"/>
    <cellStyle name="PSChar 2 2" xfId="16330" xr:uid="{00000000-0005-0000-0000-0000E93F0000}"/>
    <cellStyle name="PSDate" xfId="255" xr:uid="{00000000-0005-0000-0000-0000EA3F0000}"/>
    <cellStyle name="PSDate 2" xfId="16331" xr:uid="{00000000-0005-0000-0000-0000EB3F0000}"/>
    <cellStyle name="PSDate 2 2" xfId="16332" xr:uid="{00000000-0005-0000-0000-0000EC3F0000}"/>
    <cellStyle name="PSDec" xfId="256" xr:uid="{00000000-0005-0000-0000-0000ED3F0000}"/>
    <cellStyle name="PSDec 2" xfId="16333" xr:uid="{00000000-0005-0000-0000-0000EE3F0000}"/>
    <cellStyle name="PSDec 2 2" xfId="16334" xr:uid="{00000000-0005-0000-0000-0000EF3F0000}"/>
    <cellStyle name="PSHeading" xfId="257" xr:uid="{00000000-0005-0000-0000-0000F03F0000}"/>
    <cellStyle name="PSHeading 2" xfId="16335" xr:uid="{00000000-0005-0000-0000-0000F13F0000}"/>
    <cellStyle name="PSHeading 2 2" xfId="16336" xr:uid="{00000000-0005-0000-0000-0000F23F0000}"/>
    <cellStyle name="PSHeading 2 3" xfId="16337" xr:uid="{00000000-0005-0000-0000-0000F33F0000}"/>
    <cellStyle name="PSHeading 2_Financials Master" xfId="16338" xr:uid="{00000000-0005-0000-0000-0000F43F0000}"/>
    <cellStyle name="PSInt" xfId="258" xr:uid="{00000000-0005-0000-0000-0000F53F0000}"/>
    <cellStyle name="PSInt 2" xfId="16339" xr:uid="{00000000-0005-0000-0000-0000F63F0000}"/>
    <cellStyle name="PSInt 2 2" xfId="16340" xr:uid="{00000000-0005-0000-0000-0000F73F0000}"/>
    <cellStyle name="PSSpacer" xfId="259" xr:uid="{00000000-0005-0000-0000-0000F83F0000}"/>
    <cellStyle name="PSSpacer 2" xfId="16341" xr:uid="{00000000-0005-0000-0000-0000F93F0000}"/>
    <cellStyle name="PSSpacer 2 2" xfId="16342" xr:uid="{00000000-0005-0000-0000-0000FA3F0000}"/>
    <cellStyle name="q" xfId="16343" xr:uid="{00000000-0005-0000-0000-0000FB3F0000}"/>
    <cellStyle name="q_~7576084" xfId="16344" xr:uid="{00000000-0005-0000-0000-0000FC3F0000}"/>
    <cellStyle name="q_DCF-Valuation Support" xfId="16345" xr:uid="{00000000-0005-0000-0000-0000FD3F0000}"/>
    <cellStyle name="q_DCF-Valuation Support_~7576084" xfId="16346" xr:uid="{00000000-0005-0000-0000-0000FE3F0000}"/>
    <cellStyle name="q_ICOS-INC" xfId="16347" xr:uid="{00000000-0005-0000-0000-0000FF3F0000}"/>
    <cellStyle name="q_ICOS-INC (2)" xfId="16348" xr:uid="{00000000-0005-0000-0000-000000400000}"/>
    <cellStyle name="q_ICOS-INC (2)_~7576084" xfId="16349" xr:uid="{00000000-0005-0000-0000-000001400000}"/>
    <cellStyle name="q_ICOS-INC_~7576084" xfId="16350" xr:uid="{00000000-0005-0000-0000-000002400000}"/>
    <cellStyle name="q_Merger Model16.xls Chart 1" xfId="16351" xr:uid="{00000000-0005-0000-0000-000003400000}"/>
    <cellStyle name="q_Merger Model16.xls Chart 1_~7576084" xfId="16352" xr:uid="{00000000-0005-0000-0000-000004400000}"/>
    <cellStyle name="q_Merger Model34b" xfId="16353" xr:uid="{00000000-0005-0000-0000-000005400000}"/>
    <cellStyle name="QEPS-h" xfId="16354" xr:uid="{00000000-0005-0000-0000-000006400000}"/>
    <cellStyle name="QEPS-H1" xfId="16355" xr:uid="{00000000-0005-0000-0000-000007400000}"/>
    <cellStyle name="Quantity" xfId="16356" xr:uid="{00000000-0005-0000-0000-000008400000}"/>
    <cellStyle name="r" xfId="16357" xr:uid="{00000000-0005-0000-0000-000009400000}"/>
    <cellStyle name="r_~1010844" xfId="16358" xr:uid="{00000000-0005-0000-0000-00000A400000}"/>
    <cellStyle name="r_~1010844_~7576084" xfId="16359" xr:uid="{00000000-0005-0000-0000-00000B400000}"/>
    <cellStyle name="r_~7576084" xfId="16360" xr:uid="{00000000-0005-0000-0000-00000C400000}"/>
    <cellStyle name="r_Metals USA model v8 with warrants" xfId="16361" xr:uid="{00000000-0005-0000-0000-00000D400000}"/>
    <cellStyle name="r_Metals USA model v8 with warrants_~7576084" xfId="16362" xr:uid="{00000000-0005-0000-0000-00000E400000}"/>
    <cellStyle name="r_MUSA DCF_v1" xfId="16363" xr:uid="{00000000-0005-0000-0000-00000F400000}"/>
    <cellStyle name="r_MUSA DCF_v1_~7576084" xfId="16364" xr:uid="{00000000-0005-0000-0000-000010400000}"/>
    <cellStyle name="r_pldt" xfId="16365" xr:uid="{00000000-0005-0000-0000-000011400000}"/>
    <cellStyle name="r_pldt_~7576084" xfId="16366" xr:uid="{00000000-0005-0000-0000-000012400000}"/>
    <cellStyle name="r_PPP Valuation v. 7" xfId="16367" xr:uid="{00000000-0005-0000-0000-000013400000}"/>
    <cellStyle name="r_PPP Valuation v. 7_~7576084" xfId="16368" xr:uid="{00000000-0005-0000-0000-000014400000}"/>
    <cellStyle name="r_Public Trading Comp Sheet New" xfId="16369" xr:uid="{00000000-0005-0000-0000-000015400000}"/>
    <cellStyle name="r_Titan Trading Comps v7" xfId="16370" xr:uid="{00000000-0005-0000-0000-000016400000}"/>
    <cellStyle name="r_Titan Trading Comps v7_~7576084" xfId="16371" xr:uid="{00000000-0005-0000-0000-000017400000}"/>
    <cellStyle name="r_ZEUS WACC Analysis - Jefferies" xfId="16372" xr:uid="{00000000-0005-0000-0000-000018400000}"/>
    <cellStyle name="r_ZEUS WACC Analysis - Jefferies_~7576084" xfId="16373" xr:uid="{00000000-0005-0000-0000-000019400000}"/>
    <cellStyle name="range" xfId="16374" xr:uid="{00000000-0005-0000-0000-00001A400000}"/>
    <cellStyle name="Ratio" xfId="16375" xr:uid="{00000000-0005-0000-0000-00001B400000}"/>
    <cellStyle name="Ratio Comma" xfId="16376" xr:uid="{00000000-0005-0000-0000-00001C400000}"/>
    <cellStyle name="Ratio_bigtexmodel14" xfId="16377" xr:uid="{00000000-0005-0000-0000-00001D400000}"/>
    <cellStyle name="RatioX" xfId="16378" xr:uid="{00000000-0005-0000-0000-00001E400000}"/>
    <cellStyle name="Red" xfId="16379" xr:uid="{00000000-0005-0000-0000-00001F400000}"/>
    <cellStyle name="Red font" xfId="16380" xr:uid="{00000000-0005-0000-0000-000020400000}"/>
    <cellStyle name="Red Titles" xfId="16381" xr:uid="{00000000-0005-0000-0000-000021400000}"/>
    <cellStyle name="red$" xfId="16382" xr:uid="{00000000-0005-0000-0000-000022400000}"/>
    <cellStyle name="RedLeftSmall8" xfId="16383" xr:uid="{00000000-0005-0000-0000-000023400000}"/>
    <cellStyle name="redpercent" xfId="16384" xr:uid="{00000000-0005-0000-0000-000024400000}"/>
    <cellStyle name="regstoresfromspecstores" xfId="16385" xr:uid="{00000000-0005-0000-0000-000025400000}"/>
    <cellStyle name="Regular" xfId="16386" xr:uid="{00000000-0005-0000-0000-000026400000}"/>
    <cellStyle name="Reset  - Style7" xfId="16387" xr:uid="{00000000-0005-0000-0000-000027400000}"/>
    <cellStyle name="Review_Date" xfId="16388" xr:uid="{00000000-0005-0000-0000-000028400000}"/>
    <cellStyle name="Reviewer" xfId="16389" xr:uid="{00000000-0005-0000-0000-000029400000}"/>
    <cellStyle name="RevList" xfId="16390" xr:uid="{00000000-0005-0000-0000-00002A400000}"/>
    <cellStyle name="Right" xfId="16391" xr:uid="{00000000-0005-0000-0000-00002B400000}"/>
    <cellStyle name="RightTitle" xfId="16392" xr:uid="{00000000-0005-0000-0000-00002C400000}"/>
    <cellStyle name="Rollover_Date" xfId="16393" xr:uid="{00000000-0005-0000-0000-00002D400000}"/>
    <cellStyle name="Row Headings" xfId="16394" xr:uid="{00000000-0005-0000-0000-00002E400000}"/>
    <cellStyle name="Salomon Logo" xfId="16395" xr:uid="{00000000-0005-0000-0000-00002F400000}"/>
    <cellStyle name="SAPBEXaggData" xfId="16396" xr:uid="{00000000-0005-0000-0000-000030400000}"/>
    <cellStyle name="SAPBEXaggData 2" xfId="16397" xr:uid="{00000000-0005-0000-0000-000031400000}"/>
    <cellStyle name="SAPBEXaggData 2 2" xfId="16812" xr:uid="{00000000-0005-0000-0000-000032400000}"/>
    <cellStyle name="SAPBEXaggData 3" xfId="16811" xr:uid="{00000000-0005-0000-0000-000033400000}"/>
    <cellStyle name="SAPBEXaggDataEmph" xfId="16398" xr:uid="{00000000-0005-0000-0000-000034400000}"/>
    <cellStyle name="SAPBEXaggDataEmph 2" xfId="16399" xr:uid="{00000000-0005-0000-0000-000035400000}"/>
    <cellStyle name="SAPBEXaggDataEmph 2 2" xfId="16814" xr:uid="{00000000-0005-0000-0000-000036400000}"/>
    <cellStyle name="SAPBEXaggDataEmph 3" xfId="16813" xr:uid="{00000000-0005-0000-0000-000037400000}"/>
    <cellStyle name="SAPBEXaggItem" xfId="16400" xr:uid="{00000000-0005-0000-0000-000038400000}"/>
    <cellStyle name="SAPBEXaggItem 2" xfId="16401" xr:uid="{00000000-0005-0000-0000-000039400000}"/>
    <cellStyle name="SAPBEXaggItem 2 2" xfId="16816" xr:uid="{00000000-0005-0000-0000-00003A400000}"/>
    <cellStyle name="SAPBEXaggItem 3" xfId="16815" xr:uid="{00000000-0005-0000-0000-00003B400000}"/>
    <cellStyle name="SAPBEXaggItemX" xfId="16402" xr:uid="{00000000-0005-0000-0000-00003C400000}"/>
    <cellStyle name="SAPBEXaggItemX 2" xfId="16403" xr:uid="{00000000-0005-0000-0000-00003D400000}"/>
    <cellStyle name="SAPBEXaggItemX 2 2" xfId="16818" xr:uid="{00000000-0005-0000-0000-00003E400000}"/>
    <cellStyle name="SAPBEXaggItemX 3" xfId="16817" xr:uid="{00000000-0005-0000-0000-00003F400000}"/>
    <cellStyle name="SAPBEXchaText" xfId="16404" xr:uid="{00000000-0005-0000-0000-000040400000}"/>
    <cellStyle name="SAPBEXchaText 2" xfId="16405" xr:uid="{00000000-0005-0000-0000-000041400000}"/>
    <cellStyle name="SAPBEXchaText 2 2" xfId="16820" xr:uid="{00000000-0005-0000-0000-000042400000}"/>
    <cellStyle name="SAPBEXchaText 3" xfId="16819" xr:uid="{00000000-0005-0000-0000-000043400000}"/>
    <cellStyle name="SAPBEXexcBad7" xfId="16406" xr:uid="{00000000-0005-0000-0000-000044400000}"/>
    <cellStyle name="SAPBEXexcBad7 2" xfId="16407" xr:uid="{00000000-0005-0000-0000-000045400000}"/>
    <cellStyle name="SAPBEXexcBad7 2 2" xfId="16822" xr:uid="{00000000-0005-0000-0000-000046400000}"/>
    <cellStyle name="SAPBEXexcBad7 3" xfId="16821" xr:uid="{00000000-0005-0000-0000-000047400000}"/>
    <cellStyle name="SAPBEXexcBad8" xfId="16408" xr:uid="{00000000-0005-0000-0000-000048400000}"/>
    <cellStyle name="SAPBEXexcBad8 2" xfId="16409" xr:uid="{00000000-0005-0000-0000-000049400000}"/>
    <cellStyle name="SAPBEXexcBad8 2 2" xfId="16824" xr:uid="{00000000-0005-0000-0000-00004A400000}"/>
    <cellStyle name="SAPBEXexcBad8 3" xfId="16823" xr:uid="{00000000-0005-0000-0000-00004B400000}"/>
    <cellStyle name="SAPBEXexcBad9" xfId="16410" xr:uid="{00000000-0005-0000-0000-00004C400000}"/>
    <cellStyle name="SAPBEXexcBad9 2" xfId="16411" xr:uid="{00000000-0005-0000-0000-00004D400000}"/>
    <cellStyle name="SAPBEXexcBad9 2 2" xfId="16826" xr:uid="{00000000-0005-0000-0000-00004E400000}"/>
    <cellStyle name="SAPBEXexcBad9 3" xfId="16825" xr:uid="{00000000-0005-0000-0000-00004F400000}"/>
    <cellStyle name="SAPBEXexcCritical4" xfId="16412" xr:uid="{00000000-0005-0000-0000-000050400000}"/>
    <cellStyle name="SAPBEXexcCritical4 2" xfId="16413" xr:uid="{00000000-0005-0000-0000-000051400000}"/>
    <cellStyle name="SAPBEXexcCritical4 2 2" xfId="16828" xr:uid="{00000000-0005-0000-0000-000052400000}"/>
    <cellStyle name="SAPBEXexcCritical4 3" xfId="16827" xr:uid="{00000000-0005-0000-0000-000053400000}"/>
    <cellStyle name="SAPBEXexcCritical5" xfId="16414" xr:uid="{00000000-0005-0000-0000-000054400000}"/>
    <cellStyle name="SAPBEXexcCritical5 2" xfId="16415" xr:uid="{00000000-0005-0000-0000-000055400000}"/>
    <cellStyle name="SAPBEXexcCritical5 2 2" xfId="16830" xr:uid="{00000000-0005-0000-0000-000056400000}"/>
    <cellStyle name="SAPBEXexcCritical5 3" xfId="16829" xr:uid="{00000000-0005-0000-0000-000057400000}"/>
    <cellStyle name="SAPBEXexcCritical6" xfId="16416" xr:uid="{00000000-0005-0000-0000-000058400000}"/>
    <cellStyle name="SAPBEXexcCritical6 2" xfId="16417" xr:uid="{00000000-0005-0000-0000-000059400000}"/>
    <cellStyle name="SAPBEXexcCritical6 2 2" xfId="16832" xr:uid="{00000000-0005-0000-0000-00005A400000}"/>
    <cellStyle name="SAPBEXexcCritical6 3" xfId="16831" xr:uid="{00000000-0005-0000-0000-00005B400000}"/>
    <cellStyle name="SAPBEXexcGood1" xfId="16418" xr:uid="{00000000-0005-0000-0000-00005C400000}"/>
    <cellStyle name="SAPBEXexcGood1 2" xfId="16419" xr:uid="{00000000-0005-0000-0000-00005D400000}"/>
    <cellStyle name="SAPBEXexcGood1 2 2" xfId="16834" xr:uid="{00000000-0005-0000-0000-00005E400000}"/>
    <cellStyle name="SAPBEXexcGood1 3" xfId="16833" xr:uid="{00000000-0005-0000-0000-00005F400000}"/>
    <cellStyle name="SAPBEXexcGood2" xfId="16420" xr:uid="{00000000-0005-0000-0000-000060400000}"/>
    <cellStyle name="SAPBEXexcGood2 2" xfId="16421" xr:uid="{00000000-0005-0000-0000-000061400000}"/>
    <cellStyle name="SAPBEXexcGood2 2 2" xfId="16836" xr:uid="{00000000-0005-0000-0000-000062400000}"/>
    <cellStyle name="SAPBEXexcGood2 3" xfId="16835" xr:uid="{00000000-0005-0000-0000-000063400000}"/>
    <cellStyle name="SAPBEXexcGood3" xfId="16422" xr:uid="{00000000-0005-0000-0000-000064400000}"/>
    <cellStyle name="SAPBEXexcGood3 2" xfId="16423" xr:uid="{00000000-0005-0000-0000-000065400000}"/>
    <cellStyle name="SAPBEXexcGood3 2 2" xfId="16838" xr:uid="{00000000-0005-0000-0000-000066400000}"/>
    <cellStyle name="SAPBEXexcGood3 3" xfId="16837" xr:uid="{00000000-0005-0000-0000-000067400000}"/>
    <cellStyle name="SAPBEXfilterDrill" xfId="16424" xr:uid="{00000000-0005-0000-0000-000068400000}"/>
    <cellStyle name="SAPBEXfilterDrill 2" xfId="16425" xr:uid="{00000000-0005-0000-0000-000069400000}"/>
    <cellStyle name="SAPBEXfilterDrill 2 2" xfId="16840" xr:uid="{00000000-0005-0000-0000-00006A400000}"/>
    <cellStyle name="SAPBEXfilterDrill 3" xfId="16839" xr:uid="{00000000-0005-0000-0000-00006B400000}"/>
    <cellStyle name="SAPBEXfilterItem" xfId="16426" xr:uid="{00000000-0005-0000-0000-00006C400000}"/>
    <cellStyle name="SAPBEXfilterText" xfId="16427" xr:uid="{00000000-0005-0000-0000-00006D400000}"/>
    <cellStyle name="SAPBEXformats" xfId="16428" xr:uid="{00000000-0005-0000-0000-00006E400000}"/>
    <cellStyle name="SAPBEXformats 2" xfId="16429" xr:uid="{00000000-0005-0000-0000-00006F400000}"/>
    <cellStyle name="SAPBEXformats 2 2" xfId="16843" xr:uid="{00000000-0005-0000-0000-000070400000}"/>
    <cellStyle name="SAPBEXformats 3" xfId="16842" xr:uid="{00000000-0005-0000-0000-000071400000}"/>
    <cellStyle name="SAPBEXheaderItem" xfId="16430" xr:uid="{00000000-0005-0000-0000-000072400000}"/>
    <cellStyle name="SAPBEXheaderItem 2" xfId="16431" xr:uid="{00000000-0005-0000-0000-000073400000}"/>
    <cellStyle name="SAPBEXheaderItem 2 2" xfId="16845" xr:uid="{00000000-0005-0000-0000-000074400000}"/>
    <cellStyle name="SAPBEXheaderItem 3" xfId="16844" xr:uid="{00000000-0005-0000-0000-000075400000}"/>
    <cellStyle name="SAPBEXheaderText" xfId="16432" xr:uid="{00000000-0005-0000-0000-000076400000}"/>
    <cellStyle name="SAPBEXheaderText 2" xfId="16433" xr:uid="{00000000-0005-0000-0000-000077400000}"/>
    <cellStyle name="SAPBEXheaderText 2 2" xfId="16847" xr:uid="{00000000-0005-0000-0000-000078400000}"/>
    <cellStyle name="SAPBEXheaderText 3" xfId="16846" xr:uid="{00000000-0005-0000-0000-000079400000}"/>
    <cellStyle name="SAPBEXHLevel0" xfId="16434" xr:uid="{00000000-0005-0000-0000-00007A400000}"/>
    <cellStyle name="SAPBEXHLevel0 2" xfId="16435" xr:uid="{00000000-0005-0000-0000-00007B400000}"/>
    <cellStyle name="SAPBEXHLevel0 2 2" xfId="16849" xr:uid="{00000000-0005-0000-0000-00007C400000}"/>
    <cellStyle name="SAPBEXHLevel0 3" xfId="16848" xr:uid="{00000000-0005-0000-0000-00007D400000}"/>
    <cellStyle name="SAPBEXHLevel0X" xfId="16436" xr:uid="{00000000-0005-0000-0000-00007E400000}"/>
    <cellStyle name="SAPBEXHLevel0X 2" xfId="16437" xr:uid="{00000000-0005-0000-0000-00007F400000}"/>
    <cellStyle name="SAPBEXHLevel0X 2 2" xfId="16851" xr:uid="{00000000-0005-0000-0000-000080400000}"/>
    <cellStyle name="SAPBEXHLevel0X 3" xfId="16850" xr:uid="{00000000-0005-0000-0000-000081400000}"/>
    <cellStyle name="SAPBEXHLevel1" xfId="260" xr:uid="{00000000-0005-0000-0000-000082400000}"/>
    <cellStyle name="SAPBEXHLevel1 2" xfId="16438" xr:uid="{00000000-0005-0000-0000-000083400000}"/>
    <cellStyle name="SAPBEXHLevel1 2 2" xfId="16439" xr:uid="{00000000-0005-0000-0000-000084400000}"/>
    <cellStyle name="SAPBEXHLevel1 2 2 2" xfId="16853" xr:uid="{00000000-0005-0000-0000-000085400000}"/>
    <cellStyle name="SAPBEXHLevel1 2 3" xfId="16852" xr:uid="{00000000-0005-0000-0000-000086400000}"/>
    <cellStyle name="SAPBEXHLevel1 3" xfId="16440" xr:uid="{00000000-0005-0000-0000-000087400000}"/>
    <cellStyle name="SAPBEXHLevel1 4" xfId="16776" xr:uid="{00000000-0005-0000-0000-000088400000}"/>
    <cellStyle name="SAPBEXHLevel1X" xfId="16441" xr:uid="{00000000-0005-0000-0000-000089400000}"/>
    <cellStyle name="SAPBEXHLevel1X 2" xfId="16442" xr:uid="{00000000-0005-0000-0000-00008A400000}"/>
    <cellStyle name="SAPBEXHLevel1X 2 2" xfId="16855" xr:uid="{00000000-0005-0000-0000-00008B400000}"/>
    <cellStyle name="SAPBEXHLevel1X 3" xfId="16854" xr:uid="{00000000-0005-0000-0000-00008C400000}"/>
    <cellStyle name="SAPBEXHLevel2" xfId="16443" xr:uid="{00000000-0005-0000-0000-00008D400000}"/>
    <cellStyle name="SAPBEXHLevel2 2" xfId="16444" xr:uid="{00000000-0005-0000-0000-00008E400000}"/>
    <cellStyle name="SAPBEXHLevel2 2 2" xfId="16857" xr:uid="{00000000-0005-0000-0000-00008F400000}"/>
    <cellStyle name="SAPBEXHLevel2 3" xfId="16856" xr:uid="{00000000-0005-0000-0000-000090400000}"/>
    <cellStyle name="SAPBEXHLevel2X" xfId="16445" xr:uid="{00000000-0005-0000-0000-000091400000}"/>
    <cellStyle name="SAPBEXHLevel2X 2" xfId="16446" xr:uid="{00000000-0005-0000-0000-000092400000}"/>
    <cellStyle name="SAPBEXHLevel2X 2 2" xfId="16859" xr:uid="{00000000-0005-0000-0000-000093400000}"/>
    <cellStyle name="SAPBEXHLevel2X 3" xfId="16858" xr:uid="{00000000-0005-0000-0000-000094400000}"/>
    <cellStyle name="SAPBEXHLevel3" xfId="16447" xr:uid="{00000000-0005-0000-0000-000095400000}"/>
    <cellStyle name="SAPBEXHLevel3 2" xfId="16448" xr:uid="{00000000-0005-0000-0000-000096400000}"/>
    <cellStyle name="SAPBEXHLevel3 2 2" xfId="16861" xr:uid="{00000000-0005-0000-0000-000097400000}"/>
    <cellStyle name="SAPBEXHLevel3 3" xfId="16860" xr:uid="{00000000-0005-0000-0000-000098400000}"/>
    <cellStyle name="SAPBEXHLevel3X" xfId="16449" xr:uid="{00000000-0005-0000-0000-000099400000}"/>
    <cellStyle name="SAPBEXHLevel3X 2" xfId="16450" xr:uid="{00000000-0005-0000-0000-00009A400000}"/>
    <cellStyle name="SAPBEXHLevel3X 2 2" xfId="16863" xr:uid="{00000000-0005-0000-0000-00009B400000}"/>
    <cellStyle name="SAPBEXHLevel3X 3" xfId="16862" xr:uid="{00000000-0005-0000-0000-00009C400000}"/>
    <cellStyle name="SAPBEXresData" xfId="16451" xr:uid="{00000000-0005-0000-0000-00009D400000}"/>
    <cellStyle name="SAPBEXresData 2" xfId="16452" xr:uid="{00000000-0005-0000-0000-00009E400000}"/>
    <cellStyle name="SAPBEXresData 2 2" xfId="16865" xr:uid="{00000000-0005-0000-0000-00009F400000}"/>
    <cellStyle name="SAPBEXresData 3" xfId="16864" xr:uid="{00000000-0005-0000-0000-0000A0400000}"/>
    <cellStyle name="SAPBEXresDataEmph" xfId="16453" xr:uid="{00000000-0005-0000-0000-0000A1400000}"/>
    <cellStyle name="SAPBEXresDataEmph 2" xfId="16454" xr:uid="{00000000-0005-0000-0000-0000A2400000}"/>
    <cellStyle name="SAPBEXresDataEmph 2 2" xfId="16867" xr:uid="{00000000-0005-0000-0000-0000A3400000}"/>
    <cellStyle name="SAPBEXresDataEmph 3" xfId="16866" xr:uid="{00000000-0005-0000-0000-0000A4400000}"/>
    <cellStyle name="SAPBEXresItem" xfId="16455" xr:uid="{00000000-0005-0000-0000-0000A5400000}"/>
    <cellStyle name="SAPBEXresItem 2" xfId="16456" xr:uid="{00000000-0005-0000-0000-0000A6400000}"/>
    <cellStyle name="SAPBEXresItem 2 2" xfId="16869" xr:uid="{00000000-0005-0000-0000-0000A7400000}"/>
    <cellStyle name="SAPBEXresItem 3" xfId="16868" xr:uid="{00000000-0005-0000-0000-0000A8400000}"/>
    <cellStyle name="SAPBEXresItemX" xfId="16457" xr:uid="{00000000-0005-0000-0000-0000A9400000}"/>
    <cellStyle name="SAPBEXresItemX 2" xfId="16458" xr:uid="{00000000-0005-0000-0000-0000AA400000}"/>
    <cellStyle name="SAPBEXresItemX 2 2" xfId="16871" xr:uid="{00000000-0005-0000-0000-0000AB400000}"/>
    <cellStyle name="SAPBEXresItemX 3" xfId="16870" xr:uid="{00000000-0005-0000-0000-0000AC400000}"/>
    <cellStyle name="SAPBEXstdData" xfId="261" xr:uid="{00000000-0005-0000-0000-0000AD400000}"/>
    <cellStyle name="SAPBEXstdData 2" xfId="16459" xr:uid="{00000000-0005-0000-0000-0000AE400000}"/>
    <cellStyle name="SAPBEXstdData 2 2" xfId="16460" xr:uid="{00000000-0005-0000-0000-0000AF400000}"/>
    <cellStyle name="SAPBEXstdData 2 2 2" xfId="16873" xr:uid="{00000000-0005-0000-0000-0000B0400000}"/>
    <cellStyle name="SAPBEXstdData 2 3" xfId="16872" xr:uid="{00000000-0005-0000-0000-0000B1400000}"/>
    <cellStyle name="SAPBEXstdData 3" xfId="16461" xr:uid="{00000000-0005-0000-0000-0000B2400000}"/>
    <cellStyle name="SAPBEXstdData 4" xfId="16777" xr:uid="{00000000-0005-0000-0000-0000B3400000}"/>
    <cellStyle name="SAPBEXstdDataEmph" xfId="16462" xr:uid="{00000000-0005-0000-0000-0000B4400000}"/>
    <cellStyle name="SAPBEXstdDataEmph 2" xfId="16463" xr:uid="{00000000-0005-0000-0000-0000B5400000}"/>
    <cellStyle name="SAPBEXstdDataEmph 2 2" xfId="16875" xr:uid="{00000000-0005-0000-0000-0000B6400000}"/>
    <cellStyle name="SAPBEXstdDataEmph 3" xfId="16874" xr:uid="{00000000-0005-0000-0000-0000B7400000}"/>
    <cellStyle name="SAPBEXstdItem" xfId="16464" xr:uid="{00000000-0005-0000-0000-0000B8400000}"/>
    <cellStyle name="SAPBEXstdItem 2" xfId="16465" xr:uid="{00000000-0005-0000-0000-0000B9400000}"/>
    <cellStyle name="SAPBEXstdItem 2 2" xfId="16877" xr:uid="{00000000-0005-0000-0000-0000BA400000}"/>
    <cellStyle name="SAPBEXstdItem 3" xfId="16876" xr:uid="{00000000-0005-0000-0000-0000BB400000}"/>
    <cellStyle name="SAPBEXstdItemX" xfId="16466" xr:uid="{00000000-0005-0000-0000-0000BC400000}"/>
    <cellStyle name="SAPBEXstdItemX 2" xfId="16467" xr:uid="{00000000-0005-0000-0000-0000BD400000}"/>
    <cellStyle name="SAPBEXstdItemX 2 2" xfId="16879" xr:uid="{00000000-0005-0000-0000-0000BE400000}"/>
    <cellStyle name="SAPBEXstdItemX 3" xfId="16878" xr:uid="{00000000-0005-0000-0000-0000BF400000}"/>
    <cellStyle name="SAPBEXtitle" xfId="16468" xr:uid="{00000000-0005-0000-0000-0000C0400000}"/>
    <cellStyle name="SAPBEXundefined" xfId="16469" xr:uid="{00000000-0005-0000-0000-0000C1400000}"/>
    <cellStyle name="SAPBEXundefined 2" xfId="16470" xr:uid="{00000000-0005-0000-0000-0000C2400000}"/>
    <cellStyle name="SAPBEXundefined 2 2" xfId="16881" xr:uid="{00000000-0005-0000-0000-0000C3400000}"/>
    <cellStyle name="SAPBEXundefined 3" xfId="16880" xr:uid="{00000000-0005-0000-0000-0000C4400000}"/>
    <cellStyle name="scenario" xfId="16471" xr:uid="{00000000-0005-0000-0000-0000C5400000}"/>
    <cellStyle name="ScotchRule" xfId="16472" xr:uid="{00000000-0005-0000-0000-0000C6400000}"/>
    <cellStyle name="ScripFactor" xfId="16473" xr:uid="{00000000-0005-0000-0000-0000C7400000}"/>
    <cellStyle name="Section" xfId="16474" xr:uid="{00000000-0005-0000-0000-0000C8400000}"/>
    <cellStyle name="SectionHeading" xfId="16475" xr:uid="{00000000-0005-0000-0000-0000C9400000}"/>
    <cellStyle name="SEHeader" xfId="16476" xr:uid="{00000000-0005-0000-0000-0000CA400000}"/>
    <cellStyle name="SEHeader 2" xfId="16477" xr:uid="{00000000-0005-0000-0000-0000CB400000}"/>
    <cellStyle name="shade" xfId="16478" xr:uid="{00000000-0005-0000-0000-0000CC400000}"/>
    <cellStyle name="Shaded" xfId="16479" xr:uid="{00000000-0005-0000-0000-0000CD400000}"/>
    <cellStyle name="SHADEDSTORES" xfId="16480" xr:uid="{00000000-0005-0000-0000-0000CE400000}"/>
    <cellStyle name="Shares" xfId="16481" xr:uid="{00000000-0005-0000-0000-0000CF400000}"/>
    <cellStyle name="Sheetmult" xfId="16482" xr:uid="{00000000-0005-0000-0000-0000D0400000}"/>
    <cellStyle name="Short Date" xfId="16483" xr:uid="{00000000-0005-0000-0000-0000D1400000}"/>
    <cellStyle name="Shtmultx" xfId="16484" xr:uid="{00000000-0005-0000-0000-0000D2400000}"/>
    <cellStyle name="Single Accounting" xfId="16485" xr:uid="{00000000-0005-0000-0000-0000D3400000}"/>
    <cellStyle name="Single Border" xfId="16486" xr:uid="{00000000-0005-0000-0000-0000D4400000}"/>
    <cellStyle name="SingleLineAcctgn" xfId="262" xr:uid="{00000000-0005-0000-0000-0000D5400000}"/>
    <cellStyle name="SingleLinePercent" xfId="263" xr:uid="{00000000-0005-0000-0000-0000D6400000}"/>
    <cellStyle name="Source Hed" xfId="16487" xr:uid="{00000000-0005-0000-0000-0000D7400000}"/>
    <cellStyle name="Source Letter" xfId="16488" xr:uid="{00000000-0005-0000-0000-0000D8400000}"/>
    <cellStyle name="Source Superscript" xfId="16489" xr:uid="{00000000-0005-0000-0000-0000D9400000}"/>
    <cellStyle name="Source Text" xfId="16490" xr:uid="{00000000-0005-0000-0000-0000DA400000}"/>
    <cellStyle name="specstores" xfId="16491" xr:uid="{00000000-0005-0000-0000-0000DB400000}"/>
    <cellStyle name="Standaard_laroux" xfId="16492" xr:uid="{00000000-0005-0000-0000-0000DC400000}"/>
    <cellStyle name="Standard_Anpassen der Amortisation" xfId="16493" xr:uid="{00000000-0005-0000-0000-0000DD400000}"/>
    <cellStyle name="Std Input" xfId="16494" xr:uid="{00000000-0005-0000-0000-0000DE400000}"/>
    <cellStyle name="Std Number" xfId="16495" xr:uid="{00000000-0005-0000-0000-0000DF400000}"/>
    <cellStyle name="Std Percent" xfId="16496" xr:uid="{00000000-0005-0000-0000-0000E0400000}"/>
    <cellStyle name="Std Text" xfId="16497" xr:uid="{00000000-0005-0000-0000-0000E1400000}"/>
    <cellStyle name="StdLine" xfId="264" xr:uid="{00000000-0005-0000-0000-0000E2400000}"/>
    <cellStyle name="StdLine 2" xfId="16498" xr:uid="{00000000-0005-0000-0000-0000E3400000}"/>
    <cellStyle name="StdLine 2 2" xfId="16499" xr:uid="{00000000-0005-0000-0000-0000E4400000}"/>
    <cellStyle name="StdLine 3" xfId="16500" xr:uid="{00000000-0005-0000-0000-0000E5400000}"/>
    <cellStyle name="Stock Comma" xfId="16501" xr:uid="{00000000-0005-0000-0000-0000E6400000}"/>
    <cellStyle name="Stock Price" xfId="16502" xr:uid="{00000000-0005-0000-0000-0000E7400000}"/>
    <cellStyle name="Strange" xfId="16503" xr:uid="{00000000-0005-0000-0000-0000E8400000}"/>
    <cellStyle name="Style 1" xfId="265" xr:uid="{00000000-0005-0000-0000-0000E9400000}"/>
    <cellStyle name="Style 1 2" xfId="16504" xr:uid="{00000000-0005-0000-0000-0000EA400000}"/>
    <cellStyle name="Style 1 2 2" xfId="16505" xr:uid="{00000000-0005-0000-0000-0000EB400000}"/>
    <cellStyle name="Style 1 2 2 2" xfId="16506" xr:uid="{00000000-0005-0000-0000-0000EC400000}"/>
    <cellStyle name="Style 1 3" xfId="16507" xr:uid="{00000000-0005-0000-0000-0000ED400000}"/>
    <cellStyle name="Style 1 4" xfId="16508" xr:uid="{00000000-0005-0000-0000-0000EE400000}"/>
    <cellStyle name="Style 100" xfId="16509" xr:uid="{00000000-0005-0000-0000-0000EF400000}"/>
    <cellStyle name="Style 100 2" xfId="16510" xr:uid="{00000000-0005-0000-0000-0000F0400000}"/>
    <cellStyle name="Style 101" xfId="16511" xr:uid="{00000000-0005-0000-0000-0000F1400000}"/>
    <cellStyle name="Style 102" xfId="16512" xr:uid="{00000000-0005-0000-0000-0000F2400000}"/>
    <cellStyle name="Style 102 2" xfId="16513" xr:uid="{00000000-0005-0000-0000-0000F3400000}"/>
    <cellStyle name="Style 103" xfId="16514" xr:uid="{00000000-0005-0000-0000-0000F4400000}"/>
    <cellStyle name="Style 104" xfId="16515" xr:uid="{00000000-0005-0000-0000-0000F5400000}"/>
    <cellStyle name="Style 2" xfId="16516" xr:uid="{00000000-0005-0000-0000-0000F6400000}"/>
    <cellStyle name="Style 2 2" xfId="16517" xr:uid="{00000000-0005-0000-0000-0000F7400000}"/>
    <cellStyle name="Style 21" xfId="16518" xr:uid="{00000000-0005-0000-0000-0000F8400000}"/>
    <cellStyle name="Style 22" xfId="16519" xr:uid="{00000000-0005-0000-0000-0000F9400000}"/>
    <cellStyle name="Style 23" xfId="16520" xr:uid="{00000000-0005-0000-0000-0000FA400000}"/>
    <cellStyle name="Style 24" xfId="16521" xr:uid="{00000000-0005-0000-0000-0000FB400000}"/>
    <cellStyle name="Style 25" xfId="16522" xr:uid="{00000000-0005-0000-0000-0000FC400000}"/>
    <cellStyle name="Style 26" xfId="16523" xr:uid="{00000000-0005-0000-0000-0000FD400000}"/>
    <cellStyle name="Style 27" xfId="16524" xr:uid="{00000000-0005-0000-0000-0000FE400000}"/>
    <cellStyle name="Style 28" xfId="16525" xr:uid="{00000000-0005-0000-0000-0000FF400000}"/>
    <cellStyle name="Style 29" xfId="16526" xr:uid="{00000000-0005-0000-0000-000000410000}"/>
    <cellStyle name="Style 3" xfId="16527" xr:uid="{00000000-0005-0000-0000-000001410000}"/>
    <cellStyle name="Style 3 2" xfId="16528" xr:uid="{00000000-0005-0000-0000-000002410000}"/>
    <cellStyle name="Style 30" xfId="16529" xr:uid="{00000000-0005-0000-0000-000003410000}"/>
    <cellStyle name="Style 31" xfId="16530" xr:uid="{00000000-0005-0000-0000-000004410000}"/>
    <cellStyle name="Style 32" xfId="16531" xr:uid="{00000000-0005-0000-0000-000005410000}"/>
    <cellStyle name="Style 33" xfId="16532" xr:uid="{00000000-0005-0000-0000-000006410000}"/>
    <cellStyle name="Style 34" xfId="16533" xr:uid="{00000000-0005-0000-0000-000007410000}"/>
    <cellStyle name="Style 35" xfId="16534" xr:uid="{00000000-0005-0000-0000-000008410000}"/>
    <cellStyle name="Style 36" xfId="16535" xr:uid="{00000000-0005-0000-0000-000009410000}"/>
    <cellStyle name="Style 37" xfId="16536" xr:uid="{00000000-0005-0000-0000-00000A410000}"/>
    <cellStyle name="Style 38" xfId="16537" xr:uid="{00000000-0005-0000-0000-00000B410000}"/>
    <cellStyle name="Style 39" xfId="16538" xr:uid="{00000000-0005-0000-0000-00000C410000}"/>
    <cellStyle name="Style 4" xfId="16539" xr:uid="{00000000-0005-0000-0000-00000D410000}"/>
    <cellStyle name="Style 4 2" xfId="16540" xr:uid="{00000000-0005-0000-0000-00000E410000}"/>
    <cellStyle name="Style 40" xfId="16541" xr:uid="{00000000-0005-0000-0000-00000F410000}"/>
    <cellStyle name="Style 41" xfId="16542" xr:uid="{00000000-0005-0000-0000-000010410000}"/>
    <cellStyle name="Style 42" xfId="16543" xr:uid="{00000000-0005-0000-0000-000011410000}"/>
    <cellStyle name="Style 43" xfId="16544" xr:uid="{00000000-0005-0000-0000-000012410000}"/>
    <cellStyle name="Style 44" xfId="16545" xr:uid="{00000000-0005-0000-0000-000013410000}"/>
    <cellStyle name="Style 45" xfId="16546" xr:uid="{00000000-0005-0000-0000-000014410000}"/>
    <cellStyle name="Style 46" xfId="16547" xr:uid="{00000000-0005-0000-0000-000015410000}"/>
    <cellStyle name="Style 47" xfId="16548" xr:uid="{00000000-0005-0000-0000-000016410000}"/>
    <cellStyle name="Style 48" xfId="16549" xr:uid="{00000000-0005-0000-0000-000017410000}"/>
    <cellStyle name="Style 49" xfId="16550" xr:uid="{00000000-0005-0000-0000-000018410000}"/>
    <cellStyle name="Style 50" xfId="16551" xr:uid="{00000000-0005-0000-0000-000019410000}"/>
    <cellStyle name="Style 51" xfId="16552" xr:uid="{00000000-0005-0000-0000-00001A410000}"/>
    <cellStyle name="Style 52" xfId="16553" xr:uid="{00000000-0005-0000-0000-00001B410000}"/>
    <cellStyle name="Style 53" xfId="16554" xr:uid="{00000000-0005-0000-0000-00001C410000}"/>
    <cellStyle name="Style 54" xfId="16555" xr:uid="{00000000-0005-0000-0000-00001D410000}"/>
    <cellStyle name="Style 55" xfId="16556" xr:uid="{00000000-0005-0000-0000-00001E410000}"/>
    <cellStyle name="Style 56" xfId="16557" xr:uid="{00000000-0005-0000-0000-00001F410000}"/>
    <cellStyle name="Style 57" xfId="16558" xr:uid="{00000000-0005-0000-0000-000020410000}"/>
    <cellStyle name="Style 58" xfId="16559" xr:uid="{00000000-0005-0000-0000-000021410000}"/>
    <cellStyle name="Style 59" xfId="16560" xr:uid="{00000000-0005-0000-0000-000022410000}"/>
    <cellStyle name="Style 60" xfId="16561" xr:uid="{00000000-0005-0000-0000-000023410000}"/>
    <cellStyle name="Style 61" xfId="16562" xr:uid="{00000000-0005-0000-0000-000024410000}"/>
    <cellStyle name="Style 62" xfId="16563" xr:uid="{00000000-0005-0000-0000-000025410000}"/>
    <cellStyle name="Style 63" xfId="16564" xr:uid="{00000000-0005-0000-0000-000026410000}"/>
    <cellStyle name="Style 64" xfId="16565" xr:uid="{00000000-0005-0000-0000-000027410000}"/>
    <cellStyle name="Style 65" xfId="16566" xr:uid="{00000000-0005-0000-0000-000028410000}"/>
    <cellStyle name="Style 66" xfId="16567" xr:uid="{00000000-0005-0000-0000-000029410000}"/>
    <cellStyle name="Style 67" xfId="16568" xr:uid="{00000000-0005-0000-0000-00002A410000}"/>
    <cellStyle name="Style 68" xfId="16569" xr:uid="{00000000-0005-0000-0000-00002B410000}"/>
    <cellStyle name="Style 69" xfId="16570" xr:uid="{00000000-0005-0000-0000-00002C410000}"/>
    <cellStyle name="Style 70" xfId="16571" xr:uid="{00000000-0005-0000-0000-00002D410000}"/>
    <cellStyle name="Style 71" xfId="16572" xr:uid="{00000000-0005-0000-0000-00002E410000}"/>
    <cellStyle name="Style 72" xfId="16573" xr:uid="{00000000-0005-0000-0000-00002F410000}"/>
    <cellStyle name="Style 73" xfId="16574" xr:uid="{00000000-0005-0000-0000-000030410000}"/>
    <cellStyle name="Style 74" xfId="16575" xr:uid="{00000000-0005-0000-0000-000031410000}"/>
    <cellStyle name="Style 75" xfId="16576" xr:uid="{00000000-0005-0000-0000-000032410000}"/>
    <cellStyle name="Style 76" xfId="16577" xr:uid="{00000000-0005-0000-0000-000033410000}"/>
    <cellStyle name="Style 77" xfId="16578" xr:uid="{00000000-0005-0000-0000-000034410000}"/>
    <cellStyle name="Style 77 2" xfId="16579" xr:uid="{00000000-0005-0000-0000-000035410000}"/>
    <cellStyle name="Style 78" xfId="16580" xr:uid="{00000000-0005-0000-0000-000036410000}"/>
    <cellStyle name="Style 79" xfId="16581" xr:uid="{00000000-0005-0000-0000-000037410000}"/>
    <cellStyle name="Style 80" xfId="16582" xr:uid="{00000000-0005-0000-0000-000038410000}"/>
    <cellStyle name="Style 81" xfId="16583" xr:uid="{00000000-0005-0000-0000-000039410000}"/>
    <cellStyle name="Style 82" xfId="16584" xr:uid="{00000000-0005-0000-0000-00003A410000}"/>
    <cellStyle name="Style 83" xfId="16585" xr:uid="{00000000-0005-0000-0000-00003B410000}"/>
    <cellStyle name="Style 84" xfId="16586" xr:uid="{00000000-0005-0000-0000-00003C410000}"/>
    <cellStyle name="Style 85" xfId="16587" xr:uid="{00000000-0005-0000-0000-00003D410000}"/>
    <cellStyle name="Style 86" xfId="16588" xr:uid="{00000000-0005-0000-0000-00003E410000}"/>
    <cellStyle name="Style 87" xfId="16589" xr:uid="{00000000-0005-0000-0000-00003F410000}"/>
    <cellStyle name="Style 88" xfId="16590" xr:uid="{00000000-0005-0000-0000-000040410000}"/>
    <cellStyle name="Style 89" xfId="16591" xr:uid="{00000000-0005-0000-0000-000041410000}"/>
    <cellStyle name="Style 90" xfId="16592" xr:uid="{00000000-0005-0000-0000-000042410000}"/>
    <cellStyle name="Style 91" xfId="16593" xr:uid="{00000000-0005-0000-0000-000043410000}"/>
    <cellStyle name="Style 92" xfId="16594" xr:uid="{00000000-0005-0000-0000-000044410000}"/>
    <cellStyle name="Style 93" xfId="16595" xr:uid="{00000000-0005-0000-0000-000045410000}"/>
    <cellStyle name="Style 94" xfId="16596" xr:uid="{00000000-0005-0000-0000-000046410000}"/>
    <cellStyle name="Style 95" xfId="16597" xr:uid="{00000000-0005-0000-0000-000047410000}"/>
    <cellStyle name="Style 96" xfId="16598" xr:uid="{00000000-0005-0000-0000-000048410000}"/>
    <cellStyle name="Style 97" xfId="16599" xr:uid="{00000000-0005-0000-0000-000049410000}"/>
    <cellStyle name="Style 98" xfId="16600" xr:uid="{00000000-0005-0000-0000-00004A410000}"/>
    <cellStyle name="Style 99" xfId="16601" xr:uid="{00000000-0005-0000-0000-00004B410000}"/>
    <cellStyle name="STYLE1" xfId="266" xr:uid="{00000000-0005-0000-0000-00004C410000}"/>
    <cellStyle name="STYLE10" xfId="16602" xr:uid="{00000000-0005-0000-0000-00004D410000}"/>
    <cellStyle name="STYLE11" xfId="16603" xr:uid="{00000000-0005-0000-0000-00004E410000}"/>
    <cellStyle name="STYLE12" xfId="16604" xr:uid="{00000000-0005-0000-0000-00004F410000}"/>
    <cellStyle name="STYLE2" xfId="267" xr:uid="{00000000-0005-0000-0000-000050410000}"/>
    <cellStyle name="STYLE2 2" xfId="16605" xr:uid="{00000000-0005-0000-0000-000051410000}"/>
    <cellStyle name="STYLE2 3" xfId="16606" xr:uid="{00000000-0005-0000-0000-000052410000}"/>
    <cellStyle name="STYLE2 4" xfId="16607" xr:uid="{00000000-0005-0000-0000-000053410000}"/>
    <cellStyle name="STYLE3" xfId="268" xr:uid="{00000000-0005-0000-0000-000054410000}"/>
    <cellStyle name="STYLE3 2" xfId="16608" xr:uid="{00000000-0005-0000-0000-000055410000}"/>
    <cellStyle name="STYLE3 3" xfId="16609" xr:uid="{00000000-0005-0000-0000-000056410000}"/>
    <cellStyle name="STYLE3 4" xfId="16610" xr:uid="{00000000-0005-0000-0000-000057410000}"/>
    <cellStyle name="STYLE4" xfId="16611" xr:uid="{00000000-0005-0000-0000-000058410000}"/>
    <cellStyle name="STYLE4 2" xfId="16612" xr:uid="{00000000-0005-0000-0000-000059410000}"/>
    <cellStyle name="STYLE4 3" xfId="16613" xr:uid="{00000000-0005-0000-0000-00005A410000}"/>
    <cellStyle name="STYLE4_IS TIER 3  TREND 102208 Prelim" xfId="16614" xr:uid="{00000000-0005-0000-0000-00005B410000}"/>
    <cellStyle name="STYLE5" xfId="16615" xr:uid="{00000000-0005-0000-0000-00005C410000}"/>
    <cellStyle name="STYLE5 2" xfId="16616" xr:uid="{00000000-0005-0000-0000-00005D410000}"/>
    <cellStyle name="STYLE5 3" xfId="16617" xr:uid="{00000000-0005-0000-0000-00005E410000}"/>
    <cellStyle name="STYLE6" xfId="16618" xr:uid="{00000000-0005-0000-0000-00005F410000}"/>
    <cellStyle name="STYLE6 2" xfId="16619" xr:uid="{00000000-0005-0000-0000-000060410000}"/>
    <cellStyle name="STYLE6 3" xfId="16620" xr:uid="{00000000-0005-0000-0000-000061410000}"/>
    <cellStyle name="STYLE7" xfId="16621" xr:uid="{00000000-0005-0000-0000-000062410000}"/>
    <cellStyle name="STYLE8" xfId="16622" xr:uid="{00000000-0005-0000-0000-000063410000}"/>
    <cellStyle name="STYLE9" xfId="16623" xr:uid="{00000000-0005-0000-0000-000064410000}"/>
    <cellStyle name="Subgroup" xfId="269" xr:uid="{00000000-0005-0000-0000-000065410000}"/>
    <cellStyle name="Subhead" xfId="16624" xr:uid="{00000000-0005-0000-0000-000066410000}"/>
    <cellStyle name="Subtitle" xfId="16625" xr:uid="{00000000-0005-0000-0000-000067410000}"/>
    <cellStyle name="SubTotal" xfId="270" xr:uid="{00000000-0005-0000-0000-000068410000}"/>
    <cellStyle name="SubTotal 10" xfId="16626" xr:uid="{00000000-0005-0000-0000-000069410000}"/>
    <cellStyle name="Subtotal 2" xfId="16627" xr:uid="{00000000-0005-0000-0000-00006A410000}"/>
    <cellStyle name="SubTotal 2 2" xfId="16628" xr:uid="{00000000-0005-0000-0000-00006B410000}"/>
    <cellStyle name="SubTotal 2 2 2" xfId="16629" xr:uid="{00000000-0005-0000-0000-00006C410000}"/>
    <cellStyle name="SubTotal 3" xfId="16630" xr:uid="{00000000-0005-0000-0000-00006D410000}"/>
    <cellStyle name="SubTotal 4" xfId="16631" xr:uid="{00000000-0005-0000-0000-00006E410000}"/>
    <cellStyle name="SubTotal 5" xfId="16632" xr:uid="{00000000-0005-0000-0000-00006F410000}"/>
    <cellStyle name="SubTotal 6" xfId="16633" xr:uid="{00000000-0005-0000-0000-000070410000}"/>
    <cellStyle name="SubTotal 7" xfId="16634" xr:uid="{00000000-0005-0000-0000-000071410000}"/>
    <cellStyle name="SubTotal 8" xfId="16635" xr:uid="{00000000-0005-0000-0000-000072410000}"/>
    <cellStyle name="SubTotal 9" xfId="16636" xr:uid="{00000000-0005-0000-0000-000073410000}"/>
    <cellStyle name="Summary2" xfId="16637" xr:uid="{00000000-0005-0000-0000-000074410000}"/>
    <cellStyle name="Superscript" xfId="16638" xr:uid="{00000000-0005-0000-0000-000075410000}"/>
    <cellStyle name="Table  - Style6" xfId="16639" xr:uid="{00000000-0005-0000-0000-000076410000}"/>
    <cellStyle name="Table 10-2" xfId="16640" xr:uid="{00000000-0005-0000-0000-000077410000}"/>
    <cellStyle name="Table Col Head" xfId="16641" xr:uid="{00000000-0005-0000-0000-000078410000}"/>
    <cellStyle name="Table Data" xfId="16642" xr:uid="{00000000-0005-0000-0000-000079410000}"/>
    <cellStyle name="Table Head" xfId="16643" xr:uid="{00000000-0005-0000-0000-00007A410000}"/>
    <cellStyle name="Table Head Aligned" xfId="16644" xr:uid="{00000000-0005-0000-0000-00007B410000}"/>
    <cellStyle name="Table Head Blue" xfId="16645" xr:uid="{00000000-0005-0000-0000-00007C410000}"/>
    <cellStyle name="Table Head Green" xfId="16646" xr:uid="{00000000-0005-0000-0000-00007D410000}"/>
    <cellStyle name="Table Head Top" xfId="16647" xr:uid="{00000000-0005-0000-0000-00007E410000}"/>
    <cellStyle name="Table Head_~7576084" xfId="16648" xr:uid="{00000000-0005-0000-0000-00007F410000}"/>
    <cellStyle name="Table Heading" xfId="16649" xr:uid="{00000000-0005-0000-0000-000080410000}"/>
    <cellStyle name="Table Hed Side" xfId="16650" xr:uid="{00000000-0005-0000-0000-000081410000}"/>
    <cellStyle name="Table Sub Head" xfId="16651" xr:uid="{00000000-0005-0000-0000-000082410000}"/>
    <cellStyle name="Table Text" xfId="16652" xr:uid="{00000000-0005-0000-0000-000083410000}"/>
    <cellStyle name="Table Title" xfId="16653" xr:uid="{00000000-0005-0000-0000-000084410000}"/>
    <cellStyle name="Table Units" xfId="16654" xr:uid="{00000000-0005-0000-0000-000085410000}"/>
    <cellStyle name="Table_Header" xfId="16655" xr:uid="{00000000-0005-0000-0000-000086410000}"/>
    <cellStyle name="TableHead" xfId="16656" xr:uid="{00000000-0005-0000-0000-000087410000}"/>
    <cellStyle name="TableSubTitleItalic" xfId="16657" xr:uid="{00000000-0005-0000-0000-000088410000}"/>
    <cellStyle name="taples Plaza" xfId="16658" xr:uid="{00000000-0005-0000-0000-000089410000}"/>
    <cellStyle name="tcn" xfId="16659" xr:uid="{00000000-0005-0000-0000-00008A410000}"/>
    <cellStyle name="Template_CalculatedRow" xfId="16660" xr:uid="{00000000-0005-0000-0000-00008B410000}"/>
    <cellStyle name="Test" xfId="16661" xr:uid="{00000000-0005-0000-0000-00008C410000}"/>
    <cellStyle name="Test [green]" xfId="16662" xr:uid="{00000000-0005-0000-0000-00008D410000}"/>
    <cellStyle name="test a style" xfId="16663" xr:uid="{00000000-0005-0000-0000-00008E410000}"/>
    <cellStyle name="Text" xfId="16664" xr:uid="{00000000-0005-0000-0000-00008F410000}"/>
    <cellStyle name="Text 1" xfId="16665" xr:uid="{00000000-0005-0000-0000-000090410000}"/>
    <cellStyle name="Text 8" xfId="16666" xr:uid="{00000000-0005-0000-0000-000091410000}"/>
    <cellStyle name="Text Head 1" xfId="16667" xr:uid="{00000000-0005-0000-0000-000092410000}"/>
    <cellStyle name="Text Indent A" xfId="271" xr:uid="{00000000-0005-0000-0000-000093410000}"/>
    <cellStyle name="Text Indent B" xfId="272" xr:uid="{00000000-0005-0000-0000-000094410000}"/>
    <cellStyle name="Text Indent C" xfId="273" xr:uid="{00000000-0005-0000-0000-000095410000}"/>
    <cellStyle name="Text Wrap" xfId="16668" xr:uid="{00000000-0005-0000-0000-000096410000}"/>
    <cellStyle name="Text_~7576084" xfId="16669" xr:uid="{00000000-0005-0000-0000-000097410000}"/>
    <cellStyle name="text2" xfId="16670" xr:uid="{00000000-0005-0000-0000-000098410000}"/>
    <cellStyle name="TFCF" xfId="16671" xr:uid="{00000000-0005-0000-0000-000099410000}"/>
    <cellStyle name="þ_x001d_ð_x0007_&amp;Qý—&amp;Hý_x000b__x0008_J_x000f__x001e__x0010__x0007__x0001__x0001_" xfId="16672" xr:uid="{00000000-0005-0000-0000-00009A410000}"/>
    <cellStyle name="Thousands" xfId="16673" xr:uid="{00000000-0005-0000-0000-00009B410000}"/>
    <cellStyle name="Tickmark" xfId="274" xr:uid="{00000000-0005-0000-0000-00009C410000}"/>
    <cellStyle name="Times [1]" xfId="16674" xr:uid="{00000000-0005-0000-0000-00009D410000}"/>
    <cellStyle name="Times [1] Total" xfId="16675" xr:uid="{00000000-0005-0000-0000-00009E410000}"/>
    <cellStyle name="Times [1] Total 2" xfId="16676" xr:uid="{00000000-0005-0000-0000-00009F410000}"/>
    <cellStyle name="Times [1] Total 2 2" xfId="16883" xr:uid="{00000000-0005-0000-0000-0000A0410000}"/>
    <cellStyle name="Times [1] Total 3" xfId="16882" xr:uid="{00000000-0005-0000-0000-0000A1410000}"/>
    <cellStyle name="Times [1]_Book3" xfId="16677" xr:uid="{00000000-0005-0000-0000-0000A2410000}"/>
    <cellStyle name="Times [2]" xfId="16678" xr:uid="{00000000-0005-0000-0000-0000A3410000}"/>
    <cellStyle name="Times [2] Total" xfId="16679" xr:uid="{00000000-0005-0000-0000-0000A4410000}"/>
    <cellStyle name="Times [2] Total 2" xfId="16680" xr:uid="{00000000-0005-0000-0000-0000A5410000}"/>
    <cellStyle name="Times [2] Total 2 2" xfId="16885" xr:uid="{00000000-0005-0000-0000-0000A6410000}"/>
    <cellStyle name="Times [2] Total 3" xfId="16884" xr:uid="{00000000-0005-0000-0000-0000A7410000}"/>
    <cellStyle name="Times [2]_Book3" xfId="16681" xr:uid="{00000000-0005-0000-0000-0000A8410000}"/>
    <cellStyle name="Times 10" xfId="16682" xr:uid="{00000000-0005-0000-0000-0000A9410000}"/>
    <cellStyle name="Times 12" xfId="16683" xr:uid="{00000000-0005-0000-0000-0000AA410000}"/>
    <cellStyle name="Title  - Style1" xfId="16684" xr:uid="{00000000-0005-0000-0000-0000AB410000}"/>
    <cellStyle name="Title - PROJECT" xfId="16685" xr:uid="{00000000-0005-0000-0000-0000AC410000}"/>
    <cellStyle name="Title - Style1" xfId="16686" xr:uid="{00000000-0005-0000-0000-0000AD410000}"/>
    <cellStyle name="Title - Underline" xfId="16687" xr:uid="{00000000-0005-0000-0000-0000AE410000}"/>
    <cellStyle name="Title 2" xfId="275" xr:uid="{00000000-0005-0000-0000-0000AF410000}"/>
    <cellStyle name="Title 2 2" xfId="16688" xr:uid="{00000000-0005-0000-0000-0000B0410000}"/>
    <cellStyle name="Title 3" xfId="16689" xr:uid="{00000000-0005-0000-0000-0000B1410000}"/>
    <cellStyle name="Title 4" xfId="16690" xr:uid="{00000000-0005-0000-0000-0000B2410000}"/>
    <cellStyle name="Title Text" xfId="16691" xr:uid="{00000000-0005-0000-0000-0000B3410000}"/>
    <cellStyle name="Title Text 1" xfId="16692" xr:uid="{00000000-0005-0000-0000-0000B4410000}"/>
    <cellStyle name="Title Text 2" xfId="16693" xr:uid="{00000000-0005-0000-0000-0000B5410000}"/>
    <cellStyle name="title1" xfId="16694" xr:uid="{00000000-0005-0000-0000-0000B6410000}"/>
    <cellStyle name="Title-1" xfId="16695" xr:uid="{00000000-0005-0000-0000-0000B7410000}"/>
    <cellStyle name="Title10" xfId="16696" xr:uid="{00000000-0005-0000-0000-0000B8410000}"/>
    <cellStyle name="title2" xfId="16697" xr:uid="{00000000-0005-0000-0000-0000B9410000}"/>
    <cellStyle name="Title-2" xfId="16698" xr:uid="{00000000-0005-0000-0000-0000BA410000}"/>
    <cellStyle name="Title2_~7576084" xfId="16699" xr:uid="{00000000-0005-0000-0000-0000BB410000}"/>
    <cellStyle name="Title3" xfId="16700" xr:uid="{00000000-0005-0000-0000-0000BC410000}"/>
    <cellStyle name="Title-3" xfId="16701" xr:uid="{00000000-0005-0000-0000-0000BD410000}"/>
    <cellStyle name="Title8" xfId="16702" xr:uid="{00000000-0005-0000-0000-0000BE410000}"/>
    <cellStyle name="Title8Left" xfId="16703" xr:uid="{00000000-0005-0000-0000-0000BF410000}"/>
    <cellStyle name="TitleCenter" xfId="16704" xr:uid="{00000000-0005-0000-0000-0000C0410000}"/>
    <cellStyle name="TitleLeft" xfId="16705" xr:uid="{00000000-0005-0000-0000-0000C1410000}"/>
    <cellStyle name="Titles" xfId="16706" xr:uid="{00000000-0005-0000-0000-0000C2410000}"/>
    <cellStyle name="Titles - Col. Headings" xfId="16707" xr:uid="{00000000-0005-0000-0000-0000C3410000}"/>
    <cellStyle name="Titles - Other" xfId="16708" xr:uid="{00000000-0005-0000-0000-0000C4410000}"/>
    <cellStyle name="Titles_~7576084" xfId="16709" xr:uid="{00000000-0005-0000-0000-0000C5410000}"/>
    <cellStyle name="tn" xfId="16710" xr:uid="{00000000-0005-0000-0000-0000C6410000}"/>
    <cellStyle name="Top Edge" xfId="16711" xr:uid="{00000000-0005-0000-0000-0000C7410000}"/>
    <cellStyle name="Total 2" xfId="276" xr:uid="{00000000-0005-0000-0000-0000C8410000}"/>
    <cellStyle name="Total 2 2" xfId="16712" xr:uid="{00000000-0005-0000-0000-0000C9410000}"/>
    <cellStyle name="Total 2 3" xfId="16713" xr:uid="{00000000-0005-0000-0000-0000CA410000}"/>
    <cellStyle name="Total 2 3 2" xfId="16886" xr:uid="{00000000-0005-0000-0000-0000CB410000}"/>
    <cellStyle name="Total 3" xfId="16714" xr:uid="{00000000-0005-0000-0000-0000CC410000}"/>
    <cellStyle name="Total 3 2" xfId="16887" xr:uid="{00000000-0005-0000-0000-0000CD410000}"/>
    <cellStyle name="Total 4" xfId="16715" xr:uid="{00000000-0005-0000-0000-0000CE410000}"/>
    <cellStyle name="TotCol - Style5" xfId="16716" xr:uid="{00000000-0005-0000-0000-0000CF410000}"/>
    <cellStyle name="TotRow - Style4" xfId="16717" xr:uid="{00000000-0005-0000-0000-0000D0410000}"/>
    <cellStyle name="TransVal" xfId="16718" xr:uid="{00000000-0005-0000-0000-0000D1410000}"/>
    <cellStyle name="ubordinated Debt" xfId="16719" xr:uid="{00000000-0005-0000-0000-0000D2410000}"/>
    <cellStyle name="underline" xfId="16720" xr:uid="{00000000-0005-0000-0000-0000D3410000}"/>
    <cellStyle name="UnderMultiple" xfId="16721" xr:uid="{00000000-0005-0000-0000-0000D4410000}"/>
    <cellStyle name="Unprot" xfId="16722" xr:uid="{00000000-0005-0000-0000-0000D5410000}"/>
    <cellStyle name="Unprot$" xfId="16723" xr:uid="{00000000-0005-0000-0000-0000D6410000}"/>
    <cellStyle name="Unprotect" xfId="16724" xr:uid="{00000000-0005-0000-0000-0000D7410000}"/>
    <cellStyle name="Validation" xfId="16725" xr:uid="{00000000-0005-0000-0000-0000D8410000}"/>
    <cellStyle name="Valuta (0)_Evaluacion Consolidadal con WLL Base.xls Grafico 1" xfId="16726" xr:uid="{00000000-0005-0000-0000-0000D9410000}"/>
    <cellStyle name="Valuta [0]_laroux" xfId="16727" xr:uid="{00000000-0005-0000-0000-0000DA410000}"/>
    <cellStyle name="Valuta_Evaluacion Consolidadal con WLL Base.xls Grafico 1" xfId="16728" xr:uid="{00000000-0005-0000-0000-0000DB410000}"/>
    <cellStyle name="Währung [0]_Compiling Utility Macros" xfId="16729" xr:uid="{00000000-0005-0000-0000-0000DC410000}"/>
    <cellStyle name="Währung_Compiling Utility Macros" xfId="16730" xr:uid="{00000000-0005-0000-0000-0000DD410000}"/>
    <cellStyle name="Warning Text 2" xfId="277" xr:uid="{00000000-0005-0000-0000-0000DE410000}"/>
    <cellStyle name="Warning Text 2 2" xfId="16731" xr:uid="{00000000-0005-0000-0000-0000DF410000}"/>
    <cellStyle name="Warning Text 3" xfId="16732" xr:uid="{00000000-0005-0000-0000-0000E0410000}"/>
    <cellStyle name="Warning Text 4" xfId="16733" xr:uid="{00000000-0005-0000-0000-0000E1410000}"/>
    <cellStyle name="White" xfId="16734" xr:uid="{00000000-0005-0000-0000-0000E2410000}"/>
    <cellStyle name="WhiteCells" xfId="16735" xr:uid="{00000000-0005-0000-0000-0000E3410000}"/>
    <cellStyle name="WingDing" xfId="16736" xr:uid="{00000000-0005-0000-0000-0000E4410000}"/>
    <cellStyle name="Workpaper_Title" xfId="16737" xr:uid="{00000000-0005-0000-0000-0000E5410000}"/>
    <cellStyle name="WP" xfId="16738" xr:uid="{00000000-0005-0000-0000-0000E6410000}"/>
    <cellStyle name="WP&amp;Co." xfId="16739" xr:uid="{00000000-0005-0000-0000-0000E7410000}"/>
    <cellStyle name="WP_~7576084" xfId="16740" xr:uid="{00000000-0005-0000-0000-0000E8410000}"/>
    <cellStyle name="Wrap" xfId="16741" xr:uid="{00000000-0005-0000-0000-0000E9410000}"/>
    <cellStyle name="Wrap Bold" xfId="16742" xr:uid="{00000000-0005-0000-0000-0000EA410000}"/>
    <cellStyle name="Wrap Title" xfId="16743" xr:uid="{00000000-0005-0000-0000-0000EB410000}"/>
    <cellStyle name="Wrap_Purchase Price - Weil v3" xfId="16744" xr:uid="{00000000-0005-0000-0000-0000EC410000}"/>
    <cellStyle name="x Men" xfId="16745" xr:uid="{00000000-0005-0000-0000-0000ED410000}"/>
    <cellStyle name="XComma" xfId="16746" xr:uid="{00000000-0005-0000-0000-0000EE410000}"/>
    <cellStyle name="XComma 0.0" xfId="16747" xr:uid="{00000000-0005-0000-0000-0000EF410000}"/>
    <cellStyle name="XComma 0.00" xfId="16748" xr:uid="{00000000-0005-0000-0000-0000F0410000}"/>
    <cellStyle name="XComma 0.000" xfId="16749" xr:uid="{00000000-0005-0000-0000-0000F1410000}"/>
    <cellStyle name="XComma_~7002754" xfId="16750" xr:uid="{00000000-0005-0000-0000-0000F2410000}"/>
    <cellStyle name="XCurrency" xfId="16751" xr:uid="{00000000-0005-0000-0000-0000F3410000}"/>
    <cellStyle name="XCurrency 0.0" xfId="16752" xr:uid="{00000000-0005-0000-0000-0000F4410000}"/>
    <cellStyle name="XCurrency 0.00" xfId="16753" xr:uid="{00000000-0005-0000-0000-0000F5410000}"/>
    <cellStyle name="XCurrency 0.000" xfId="16754" xr:uid="{00000000-0005-0000-0000-0000F6410000}"/>
    <cellStyle name="XCurrency_~7002754" xfId="16755" xr:uid="{00000000-0005-0000-0000-0000F7410000}"/>
    <cellStyle name="xstyle" xfId="16756" xr:uid="{00000000-0005-0000-0000-0000F8410000}"/>
    <cellStyle name="Year" xfId="16757" xr:uid="{00000000-0005-0000-0000-0000F9410000}"/>
    <cellStyle name="Years" xfId="16758" xr:uid="{00000000-0005-0000-0000-0000FA410000}"/>
    <cellStyle name="yellow" xfId="16759" xr:uid="{00000000-0005-0000-0000-0000FB410000}"/>
    <cellStyle name="Yellowback" xfId="16760" xr:uid="{00000000-0005-0000-0000-0000FC410000}"/>
    <cellStyle name="Yen" xfId="16761" xr:uid="{00000000-0005-0000-0000-0000FD410000}"/>
  </cellStyles>
  <dxfs count="23">
    <dxf>
      <font>
        <color rgb="FFFF0000"/>
      </font>
    </dxf>
    <dxf>
      <font>
        <b/>
        <i val="0"/>
      </font>
    </dxf>
    <dxf>
      <font>
        <b/>
        <i val="0"/>
      </font>
    </dxf>
    <dxf>
      <font>
        <b/>
        <i val="0"/>
      </font>
    </dxf>
    <dxf>
      <font>
        <b/>
        <i val="0"/>
      </font>
    </dxf>
    <dxf>
      <font>
        <b/>
        <i val="0"/>
        <color rgb="FFFF0000"/>
      </font>
    </dxf>
    <dxf>
      <font>
        <b/>
        <i val="0"/>
        <color rgb="FFFF0000"/>
      </font>
    </dxf>
    <dxf>
      <font>
        <color rgb="FFF20000"/>
      </font>
    </dxf>
    <dxf>
      <font>
        <color rgb="FFFF0000"/>
      </font>
    </dxf>
    <dxf>
      <font>
        <color rgb="FFF20000"/>
      </font>
    </dxf>
    <dxf>
      <font>
        <b/>
        <i val="0"/>
        <color rgb="FFF20000"/>
      </font>
    </dxf>
    <dxf>
      <font>
        <b/>
        <i val="0"/>
        <color rgb="FFFF0000"/>
      </font>
    </dxf>
    <dxf>
      <font>
        <color rgb="FFFF0000"/>
      </font>
    </dxf>
    <dxf>
      <font>
        <color rgb="FFFF0000"/>
      </font>
    </dxf>
    <dxf>
      <font>
        <color rgb="FFFF0000"/>
      </font>
    </dxf>
    <dxf>
      <font>
        <b/>
        <i val="0"/>
        <color rgb="FFFF0000"/>
      </font>
    </dxf>
    <dxf>
      <font>
        <color rgb="FFFF0000"/>
      </font>
    </dxf>
    <dxf>
      <font>
        <b/>
        <i val="0"/>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000FF"/>
      <color rgb="FF585858"/>
      <color rgb="FFA40C22"/>
      <color rgb="FFF20000"/>
      <color rgb="FFF89EAB"/>
      <color rgb="FFE6B9B8"/>
      <color rgb="FFEDCCCB"/>
      <color rgb="FFE6E6E6"/>
      <color rgb="FF000000"/>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Inventory Status</a:t>
            </a:r>
          </a:p>
        </c:rich>
      </c:tx>
      <c:layout>
        <c:manualLayout>
          <c:xMode val="edge"/>
          <c:yMode val="edge"/>
          <c:x val="0.32371859296482414"/>
          <c:y val="5.602245838898819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8.6806322717123061E-2"/>
          <c:y val="0.10630810820157817"/>
          <c:w val="0.87949314422392222"/>
          <c:h val="0.62723303061418578"/>
        </c:manualLayout>
      </c:layout>
      <c:barChart>
        <c:barDir val="col"/>
        <c:grouping val="stacked"/>
        <c:varyColors val="0"/>
        <c:ser>
          <c:idx val="1"/>
          <c:order val="0"/>
          <c:tx>
            <c:strRef>
              <c:f>'Graph Support'!$B$17</c:f>
              <c:strCache>
                <c:ptCount val="1"/>
                <c:pt idx="0">
                  <c:v>Sold</c:v>
                </c:pt>
              </c:strCache>
            </c:strRef>
          </c:tx>
          <c:spPr>
            <a:solidFill>
              <a:srgbClr val="A40C22"/>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Narrow" panose="020B060602020203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Support'!$C$17:$N$17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C02-4BEF-A845-4AEA80A56A6A}"/>
            </c:ext>
          </c:extLst>
        </c:ser>
        <c:ser>
          <c:idx val="2"/>
          <c:order val="1"/>
          <c:tx>
            <c:strRef>
              <c:f>'Graph Support'!$B$18</c:f>
              <c:strCache>
                <c:ptCount val="1"/>
                <c:pt idx="0">
                  <c:v>Backlog</c:v>
                </c:pt>
              </c:strCache>
            </c:strRef>
          </c:tx>
          <c:spPr>
            <a:solidFill>
              <a:srgbClr val="E6E6E6"/>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Support'!$C$18:$N$18</c:f>
              <c:numCache>
                <c:formatCode>#,##0</c:formatCode>
                <c:ptCount val="12"/>
                <c:pt idx="0">
                  <c:v>808</c:v>
                </c:pt>
                <c:pt idx="1">
                  <c:v>808</c:v>
                </c:pt>
                <c:pt idx="2">
                  <c:v>808</c:v>
                </c:pt>
                <c:pt idx="3">
                  <c:v>895</c:v>
                </c:pt>
                <c:pt idx="4">
                  <c:v>895</c:v>
                </c:pt>
                <c:pt idx="5">
                  <c:v>895</c:v>
                </c:pt>
                <c:pt idx="6">
                  <c:v>464.66666666666669</c:v>
                </c:pt>
                <c:pt idx="7">
                  <c:v>465</c:v>
                </c:pt>
                <c:pt idx="8">
                  <c:v>465</c:v>
                </c:pt>
                <c:pt idx="9">
                  <c:v>1699</c:v>
                </c:pt>
                <c:pt idx="10">
                  <c:v>1699</c:v>
                </c:pt>
                <c:pt idx="11">
                  <c:v>1699</c:v>
                </c:pt>
              </c:numCache>
            </c:numRef>
          </c:val>
          <c:extLst>
            <c:ext xmlns:c16="http://schemas.microsoft.com/office/drawing/2014/chart" uri="{C3380CC4-5D6E-409C-BE32-E72D297353CC}">
              <c16:uniqueId val="{00000001-9C02-4BEF-A845-4AEA80A56A6A}"/>
            </c:ext>
          </c:extLst>
        </c:ser>
        <c:ser>
          <c:idx val="3"/>
          <c:order val="2"/>
          <c:tx>
            <c:strRef>
              <c:f>'Graph Support'!$B$19</c:f>
              <c:strCache>
                <c:ptCount val="1"/>
                <c:pt idx="0">
                  <c:v>Spec U/C</c:v>
                </c:pt>
              </c:strCache>
            </c:strRef>
          </c:tx>
          <c:spPr>
            <a:solidFill>
              <a:srgbClr val="F89EAB"/>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Support'!$C$19:$N$19</c:f>
              <c:numCache>
                <c:formatCode>#,##0</c:formatCode>
                <c:ptCount val="12"/>
                <c:pt idx="0">
                  <c:v>1512</c:v>
                </c:pt>
                <c:pt idx="1">
                  <c:v>1512</c:v>
                </c:pt>
                <c:pt idx="2">
                  <c:v>1512</c:v>
                </c:pt>
                <c:pt idx="3">
                  <c:v>2801</c:v>
                </c:pt>
                <c:pt idx="4">
                  <c:v>2801</c:v>
                </c:pt>
                <c:pt idx="5">
                  <c:v>2801</c:v>
                </c:pt>
                <c:pt idx="6">
                  <c:v>0</c:v>
                </c:pt>
                <c:pt idx="7">
                  <c:v>0</c:v>
                </c:pt>
                <c:pt idx="8">
                  <c:v>0</c:v>
                </c:pt>
                <c:pt idx="9">
                  <c:v>1355</c:v>
                </c:pt>
                <c:pt idx="10">
                  <c:v>1355</c:v>
                </c:pt>
                <c:pt idx="11">
                  <c:v>1355</c:v>
                </c:pt>
              </c:numCache>
            </c:numRef>
          </c:val>
          <c:extLst>
            <c:ext xmlns:c16="http://schemas.microsoft.com/office/drawing/2014/chart" uri="{C3380CC4-5D6E-409C-BE32-E72D297353CC}">
              <c16:uniqueId val="{00000002-9C02-4BEF-A845-4AEA80A56A6A}"/>
            </c:ext>
          </c:extLst>
        </c:ser>
        <c:ser>
          <c:idx val="4"/>
          <c:order val="3"/>
          <c:tx>
            <c:strRef>
              <c:f>'Graph Support'!$B$20</c:f>
              <c:strCache>
                <c:ptCount val="1"/>
                <c:pt idx="0">
                  <c:v>Spec CO</c:v>
                </c:pt>
              </c:strCache>
            </c:strRef>
          </c:tx>
          <c:spPr>
            <a:solidFill>
              <a:srgbClr val="000000"/>
            </a:solidFill>
            <a:ln>
              <a:noFill/>
            </a:ln>
            <a:effectLst/>
          </c:spPr>
          <c:invertIfNegative val="0"/>
          <c:dLbls>
            <c:dLbl>
              <c:idx val="4"/>
              <c:layout>
                <c:manualLayout>
                  <c:x val="0"/>
                  <c:y val="-1.45454545454545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02-4BEF-A845-4AEA80A56A6A}"/>
                </c:ext>
              </c:extLst>
            </c:dLbl>
            <c:dLbl>
              <c:idx val="5"/>
              <c:layout>
                <c:manualLayout>
                  <c:x val="-6.0806373292035783E-17"/>
                  <c:y val="-1.33779264214046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02-4BEF-A845-4AEA80A56A6A}"/>
                </c:ext>
              </c:extLst>
            </c:dLbl>
            <c:dLbl>
              <c:idx val="6"/>
              <c:layout>
                <c:manualLayout>
                  <c:x val="6.111042119797659E-17"/>
                  <c:y val="-2.38353245166278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02-4BEF-A845-4AEA80A56A6A}"/>
                </c:ext>
              </c:extLst>
            </c:dLbl>
            <c:dLbl>
              <c:idx val="7"/>
              <c:layout>
                <c:manualLayout>
                  <c:x val="0"/>
                  <c:y val="-3.238253400143163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02-4BEF-A845-4AEA80A56A6A}"/>
                </c:ext>
              </c:extLst>
            </c:dLbl>
            <c:dLbl>
              <c:idx val="8"/>
              <c:layout>
                <c:manualLayout>
                  <c:x val="-1.2161274658407157E-16"/>
                  <c:y val="-2.2296544035674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C02-4BEF-A845-4AEA80A56A6A}"/>
                </c:ext>
              </c:extLst>
            </c:dLbl>
            <c:dLbl>
              <c:idx val="9"/>
              <c:layout>
                <c:manualLayout>
                  <c:x val="0"/>
                  <c:y val="-2.22965440356744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02-4BEF-A845-4AEA80A56A6A}"/>
                </c:ext>
              </c:extLst>
            </c:dLbl>
            <c:dLbl>
              <c:idx val="10"/>
              <c:layout>
                <c:manualLayout>
                  <c:x val="-1.2161274658407157E-16"/>
                  <c:y val="-2.2296544035674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02-4BEF-A845-4AEA80A56A6A}"/>
                </c:ext>
              </c:extLst>
            </c:dLbl>
            <c:dLbl>
              <c:idx val="11"/>
              <c:layout>
                <c:manualLayout>
                  <c:x val="0"/>
                  <c:y val="-3.12151616499442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C02-4BEF-A845-4AEA80A56A6A}"/>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Narrow" panose="020B060602020203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Support'!$C$20:$N$20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9C02-4BEF-A845-4AEA80A56A6A}"/>
            </c:ext>
          </c:extLst>
        </c:ser>
        <c:ser>
          <c:idx val="5"/>
          <c:order val="4"/>
          <c:tx>
            <c:strRef>
              <c:f>'Graph Support'!$B$21</c:f>
              <c:strCache>
                <c:ptCount val="1"/>
                <c:pt idx="0">
                  <c:v>Models</c:v>
                </c:pt>
              </c:strCache>
            </c:strRef>
          </c:tx>
          <c:spPr>
            <a:solidFill>
              <a:srgbClr val="F20000"/>
            </a:solidFill>
            <a:ln>
              <a:noFill/>
            </a:ln>
            <a:effectLst/>
          </c:spPr>
          <c:invertIfNegative val="0"/>
          <c:dLbls>
            <c:dLbl>
              <c:idx val="6"/>
              <c:layout>
                <c:manualLayout>
                  <c:x val="6.111042119797659E-17"/>
                  <c:y val="-6.398685152049879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C02-4BEF-A845-4AEA80A56A6A}"/>
                </c:ext>
              </c:extLst>
            </c:dLbl>
            <c:dLbl>
              <c:idx val="7"/>
              <c:layout>
                <c:manualLayout>
                  <c:x val="0"/>
                  <c:y val="-7.6622747824712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C02-4BEF-A845-4AEA80A56A6A}"/>
                </c:ext>
              </c:extLst>
            </c:dLbl>
            <c:dLbl>
              <c:idx val="8"/>
              <c:layout>
                <c:manualLayout>
                  <c:x val="-1.2161274658407157E-16"/>
                  <c:y val="-5.64769704790246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C02-4BEF-A845-4AEA80A56A6A}"/>
                </c:ext>
              </c:extLst>
            </c:dLbl>
            <c:dLbl>
              <c:idx val="9"/>
              <c:layout>
                <c:manualLayout>
                  <c:x val="0"/>
                  <c:y val="-5.568096630061710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C02-4BEF-A845-4AEA80A56A6A}"/>
                </c:ext>
              </c:extLst>
            </c:dLbl>
            <c:dLbl>
              <c:idx val="10"/>
              <c:layout>
                <c:manualLayout>
                  <c:x val="-1.2161274658407157E-16"/>
                  <c:y val="-6.45995839148869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C02-4BEF-A845-4AEA80A56A6A}"/>
                </c:ext>
              </c:extLst>
            </c:dLbl>
            <c:dLbl>
              <c:idx val="11"/>
              <c:layout>
                <c:manualLayout>
                  <c:x val="-1.2071191142418955E-16"/>
                  <c:y val="-7.58264316498660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C02-4BEF-A845-4AEA80A56A6A}"/>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Support'!$C$21:$N$21</c:f>
              <c:numCache>
                <c:formatCode>#,##0</c:formatCode>
                <c:ptCount val="12"/>
                <c:pt idx="0">
                  <c:v>135</c:v>
                </c:pt>
                <c:pt idx="1">
                  <c:v>135</c:v>
                </c:pt>
                <c:pt idx="2">
                  <c:v>135</c:v>
                </c:pt>
                <c:pt idx="3">
                  <c:v>135</c:v>
                </c:pt>
                <c:pt idx="4">
                  <c:v>135</c:v>
                </c:pt>
                <c:pt idx="5">
                  <c:v>135</c:v>
                </c:pt>
                <c:pt idx="6">
                  <c:v>464.66666666666669</c:v>
                </c:pt>
                <c:pt idx="7">
                  <c:v>464.66666666666669</c:v>
                </c:pt>
                <c:pt idx="8">
                  <c:v>464.66666666666669</c:v>
                </c:pt>
                <c:pt idx="9">
                  <c:v>464.66666666666669</c:v>
                </c:pt>
                <c:pt idx="10">
                  <c:v>464.66666666666669</c:v>
                </c:pt>
                <c:pt idx="11">
                  <c:v>464.66666666666669</c:v>
                </c:pt>
              </c:numCache>
            </c:numRef>
          </c:val>
          <c:extLst>
            <c:ext xmlns:c16="http://schemas.microsoft.com/office/drawing/2014/chart" uri="{C3380CC4-5D6E-409C-BE32-E72D297353CC}">
              <c16:uniqueId val="{00000012-9C02-4BEF-A845-4AEA80A56A6A}"/>
            </c:ext>
          </c:extLst>
        </c:ser>
        <c:dLbls>
          <c:dLblPos val="ctr"/>
          <c:showLegendKey val="0"/>
          <c:showVal val="1"/>
          <c:showCatName val="0"/>
          <c:showSerName val="0"/>
          <c:showPercent val="0"/>
          <c:showBubbleSize val="0"/>
        </c:dLbls>
        <c:gapWidth val="45"/>
        <c:overlap val="100"/>
        <c:axId val="768766808"/>
        <c:axId val="768767200"/>
      </c:barChart>
      <c:dateAx>
        <c:axId val="7687668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768767200"/>
        <c:crosses val="autoZero"/>
        <c:auto val="1"/>
        <c:lblOffset val="100"/>
        <c:baseTimeUnit val="months"/>
      </c:dateAx>
      <c:valAx>
        <c:axId val="768767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768766808"/>
        <c:crosses val="autoZero"/>
        <c:crossBetween val="between"/>
      </c:valAx>
      <c:spPr>
        <a:noFill/>
        <a:ln>
          <a:noFill/>
        </a:ln>
        <a:effectLst/>
      </c:spPr>
    </c:plotArea>
    <c:legend>
      <c:legendPos val="b"/>
      <c:layout>
        <c:manualLayout>
          <c:xMode val="edge"/>
          <c:yMode val="edge"/>
          <c:x val="0.11150752095074411"/>
          <c:y val="0.89348230680651086"/>
          <c:w val="0.76533038460115077"/>
          <c:h val="8.9996022848447474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Quarterly Income Statement Trend Lines</a:t>
            </a:r>
          </a:p>
        </c:rich>
      </c:tx>
      <c:layout>
        <c:manualLayout>
          <c:xMode val="edge"/>
          <c:yMode val="edge"/>
          <c:x val="0.2192599804902805"/>
          <c:y val="1.388888888888888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'Income Stmt'!$B$5</c:f>
              <c:strCache>
                <c:ptCount val="1"/>
                <c:pt idx="0">
                  <c:v>Revenue</c:v>
                </c:pt>
              </c:strCache>
            </c:strRef>
          </c:tx>
          <c:spPr>
            <a:ln w="28575" cap="rnd">
              <a:solidFill>
                <a:schemeClr val="accent1"/>
              </a:solidFill>
              <a:round/>
            </a:ln>
            <a:effectLst/>
          </c:spPr>
          <c:marker>
            <c:symbol val="triangle"/>
            <c:size val="8"/>
            <c:spPr>
              <a:solidFill>
                <a:srgbClr val="A40C22"/>
              </a:solidFill>
              <a:ln w="9525">
                <a:solidFill>
                  <a:srgbClr val="A40C2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'Income Stmt'!$C$4:$J$4</c:f>
            </c:multiLvlStrRef>
          </c:cat>
          <c:val>
            <c:numRef>
              <c:f>'Income Stmt'!$C$5:$J$5</c:f>
            </c:numRef>
          </c:val>
          <c:smooth val="0"/>
          <c:extLst>
            <c:ext xmlns:c16="http://schemas.microsoft.com/office/drawing/2014/chart" uri="{C3380CC4-5D6E-409C-BE32-E72D297353CC}">
              <c16:uniqueId val="{00000004-0FC5-4FFE-B218-0BD2F7164542}"/>
            </c:ext>
          </c:extLst>
        </c:ser>
        <c:dLbls>
          <c:showLegendKey val="0"/>
          <c:showVal val="0"/>
          <c:showCatName val="0"/>
          <c:showSerName val="0"/>
          <c:showPercent val="0"/>
          <c:showBubbleSize val="0"/>
        </c:dLbls>
        <c:marker val="1"/>
        <c:smooth val="0"/>
        <c:axId val="550220488"/>
        <c:axId val="550220880"/>
      </c:lineChart>
      <c:lineChart>
        <c:grouping val="standard"/>
        <c:varyColors val="0"/>
        <c:ser>
          <c:idx val="1"/>
          <c:order val="1"/>
          <c:tx>
            <c:strRef>
              <c:f>'Income Stmt'!$B$8</c:f>
              <c:strCache>
                <c:ptCount val="1"/>
                <c:pt idx="0">
                  <c:v>% Gross Margin</c:v>
                </c:pt>
              </c:strCache>
            </c:strRef>
          </c:tx>
          <c:spPr>
            <a:ln w="28575" cap="rnd">
              <a:solidFill>
                <a:schemeClr val="accent2"/>
              </a:solidFill>
              <a:round/>
            </a:ln>
            <a:effectLst/>
          </c:spPr>
          <c:marker>
            <c:symbol val="diamond"/>
            <c:size val="8"/>
            <c:spPr>
              <a:solidFill>
                <a:srgbClr val="000000"/>
              </a:solidFill>
              <a:ln w="9525">
                <a:solidFill>
                  <a:srgbClr val="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'Income Stmt'!$C$4:$J$4</c:f>
            </c:multiLvlStrRef>
          </c:cat>
          <c:val>
            <c:numRef>
              <c:f>'Income Stmt'!$C$8:$J$8</c:f>
            </c:numRef>
          </c:val>
          <c:smooth val="0"/>
          <c:extLst>
            <c:ext xmlns:c16="http://schemas.microsoft.com/office/drawing/2014/chart" uri="{C3380CC4-5D6E-409C-BE32-E72D297353CC}">
              <c16:uniqueId val="{0000000A-0FC5-4FFE-B218-0BD2F7164542}"/>
            </c:ext>
          </c:extLst>
        </c:ser>
        <c:ser>
          <c:idx val="2"/>
          <c:order val="2"/>
          <c:tx>
            <c:strRef>
              <c:f>'Income Stmt'!$B$11</c:f>
              <c:strCache>
                <c:ptCount val="1"/>
                <c:pt idx="0">
                  <c:v>Net Margin</c:v>
                </c:pt>
              </c:strCache>
            </c:strRef>
          </c:tx>
          <c:spPr>
            <a:ln w="28575" cap="rnd">
              <a:solidFill>
                <a:schemeClr val="accent3"/>
              </a:solidFill>
              <a:round/>
            </a:ln>
            <a:effectLst/>
          </c:spPr>
          <c:marker>
            <c:symbol val="circle"/>
            <c:size val="8"/>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'Income Stmt'!$C$4:$J$4</c:f>
            </c:multiLvlStrRef>
          </c:cat>
          <c:val>
            <c:numRef>
              <c:f>'Income Stmt'!$C$11:$J$11</c:f>
            </c:numRef>
          </c:val>
          <c:smooth val="0"/>
          <c:extLst>
            <c:ext xmlns:c16="http://schemas.microsoft.com/office/drawing/2014/chart" uri="{C3380CC4-5D6E-409C-BE32-E72D297353CC}">
              <c16:uniqueId val="{0000000F-0FC5-4FFE-B218-0BD2F7164542}"/>
            </c:ext>
          </c:extLst>
        </c:ser>
        <c:dLbls>
          <c:showLegendKey val="0"/>
          <c:showVal val="0"/>
          <c:showCatName val="0"/>
          <c:showSerName val="0"/>
          <c:showPercent val="0"/>
          <c:showBubbleSize val="0"/>
        </c:dLbls>
        <c:marker val="1"/>
        <c:smooth val="0"/>
        <c:axId val="550221664"/>
        <c:axId val="550221272"/>
      </c:lineChart>
      <c:catAx>
        <c:axId val="550220488"/>
        <c:scaling>
          <c:orientation val="minMax"/>
        </c:scaling>
        <c:delete val="0"/>
        <c:axPos val="b"/>
        <c:numFmt formatCode="[$-409]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220880"/>
        <c:crosses val="autoZero"/>
        <c:auto val="1"/>
        <c:lblAlgn val="ctr"/>
        <c:lblOffset val="100"/>
        <c:tickLblSkip val="3"/>
        <c:noMultiLvlLbl val="1"/>
      </c:catAx>
      <c:valAx>
        <c:axId val="55022088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220488"/>
        <c:crosses val="autoZero"/>
        <c:crossBetween val="between"/>
        <c:dispUnits>
          <c:builtInUnit val="thousands"/>
        </c:dispUnits>
      </c:valAx>
      <c:valAx>
        <c:axId val="550221272"/>
        <c:scaling>
          <c:orientation val="minMax"/>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221664"/>
        <c:crosses val="max"/>
        <c:crossBetween val="between"/>
      </c:valAx>
      <c:catAx>
        <c:axId val="550221664"/>
        <c:scaling>
          <c:orientation val="minMax"/>
        </c:scaling>
        <c:delete val="1"/>
        <c:axPos val="b"/>
        <c:numFmt formatCode="[$-409]mmm\-yy;@" sourceLinked="1"/>
        <c:majorTickMark val="out"/>
        <c:minorTickMark val="none"/>
        <c:tickLblPos val="nextTo"/>
        <c:crossAx val="550221272"/>
        <c:crosses val="autoZero"/>
        <c:auto val="1"/>
        <c:lblAlgn val="ctr"/>
        <c:lblOffset val="100"/>
        <c:noMultiLvlLbl val="1"/>
      </c:catAx>
      <c:spPr>
        <a:noFill/>
        <a:ln>
          <a:noFill/>
        </a:ln>
        <a:effectLst/>
      </c:spPr>
    </c:plotArea>
    <c:legend>
      <c:legendPos val="b"/>
      <c:layout>
        <c:manualLayout>
          <c:xMode val="edge"/>
          <c:yMode val="edge"/>
          <c:x val="0.12993219597550307"/>
          <c:y val="0.90301144648585596"/>
          <c:w val="0.75680227471566053"/>
          <c:h val="7.384040536599591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Leverage Ratio Trend Lines</a:t>
            </a:r>
          </a:p>
        </c:rich>
      </c:tx>
      <c:layout>
        <c:manualLayout>
          <c:xMode val="edge"/>
          <c:yMode val="edge"/>
          <c:x val="0.29648004205959888"/>
          <c:y val="5.0925925925925923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'Ratio Analysis'!$B$5</c:f>
              <c:strCache>
                <c:ptCount val="1"/>
                <c:pt idx="0">
                  <c:v>Debt to Net Worth</c:v>
                </c:pt>
              </c:strCache>
            </c:strRef>
          </c:tx>
          <c:spPr>
            <a:ln w="28575" cap="rnd">
              <a:solidFill>
                <a:srgbClr val="A40C22"/>
              </a:solidFill>
              <a:round/>
            </a:ln>
            <a:effectLst/>
          </c:spPr>
          <c:marker>
            <c:symbol val="triangle"/>
            <c:size val="8"/>
            <c:spPr>
              <a:solidFill>
                <a:srgbClr val="A40C22"/>
              </a:solidFill>
              <a:ln w="9525">
                <a:solidFill>
                  <a:srgbClr val="A40C22"/>
                </a:solidFill>
              </a:ln>
              <a:effectLst/>
            </c:spPr>
          </c:marker>
          <c:dLbls>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16-48D4-B0F9-595337EC79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'Ratio Analysis'!$C$4:$K$4</c:f>
              <c:numCache>
                <c:formatCode>[$-409]mmm\-yy;@</c:formatCode>
                <c:ptCount val="9"/>
                <c:pt idx="0">
                  <c:v>45747</c:v>
                </c:pt>
                <c:pt idx="1">
                  <c:v>45838</c:v>
                </c:pt>
                <c:pt idx="2">
                  <c:v>45930</c:v>
                </c:pt>
                <c:pt idx="3">
                  <c:v>46022</c:v>
                </c:pt>
                <c:pt idx="4">
                  <c:v>46112</c:v>
                </c:pt>
                <c:pt idx="5">
                  <c:v>46203</c:v>
                </c:pt>
                <c:pt idx="6">
                  <c:v>46295</c:v>
                </c:pt>
                <c:pt idx="7">
                  <c:v>46387</c:v>
                </c:pt>
                <c:pt idx="8">
                  <c:v>46477</c:v>
                </c:pt>
              </c:numCache>
            </c:numRef>
          </c:cat>
          <c:val>
            <c:numRef>
              <c:f>'Ratio Analysis'!$C$5:$K$5</c:f>
              <c:numCache>
                <c:formatCode>General</c:formatCode>
                <c:ptCount val="9"/>
                <c:pt idx="0">
                  <c:v>1.5156049783943506</c:v>
                </c:pt>
                <c:pt idx="1">
                  <c:v>1.4784981536231114</c:v>
                </c:pt>
                <c:pt idx="2">
                  <c:v>1.3508566719391757</c:v>
                </c:pt>
                <c:pt idx="3">
                  <c:v>1.3252166810364387</c:v>
                </c:pt>
                <c:pt idx="4">
                  <c:v>1.2931072829186854</c:v>
                </c:pt>
                <c:pt idx="5">
                  <c:v>1.3245793591254957</c:v>
                </c:pt>
                <c:pt idx="6">
                  <c:v>1.2927397068124156</c:v>
                </c:pt>
                <c:pt idx="7">
                  <c:v>1.2902112149449014</c:v>
                </c:pt>
                <c:pt idx="8">
                  <c:v>1.2045540843448757</c:v>
                </c:pt>
              </c:numCache>
            </c:numRef>
          </c:val>
          <c:smooth val="0"/>
          <c:extLst>
            <c:ext xmlns:c16="http://schemas.microsoft.com/office/drawing/2014/chart" uri="{C3380CC4-5D6E-409C-BE32-E72D297353CC}">
              <c16:uniqueId val="{00000001-B816-48D4-B0F9-595337EC79C1}"/>
            </c:ext>
          </c:extLst>
        </c:ser>
        <c:ser>
          <c:idx val="1"/>
          <c:order val="1"/>
          <c:tx>
            <c:strRef>
              <c:f>'Ratio Analysis'!$B$6</c:f>
              <c:strCache>
                <c:ptCount val="1"/>
                <c:pt idx="0">
                  <c:v>Debt to TNW</c:v>
                </c:pt>
              </c:strCache>
            </c:strRef>
          </c:tx>
          <c:spPr>
            <a:ln w="28575" cap="rnd">
              <a:solidFill>
                <a:srgbClr val="585858"/>
              </a:solidFill>
              <a:round/>
            </a:ln>
            <a:effectLst/>
          </c:spPr>
          <c:marker>
            <c:symbol val="diamond"/>
            <c:size val="8"/>
            <c:spPr>
              <a:solidFill>
                <a:srgbClr val="000000"/>
              </a:solidFill>
              <a:ln w="9525">
                <a:solidFill>
                  <a:srgbClr val="000000"/>
                </a:solidFill>
              </a:ln>
              <a:effectLst/>
            </c:spPr>
          </c:marker>
          <c:dLbls>
            <c:dLbl>
              <c:idx val="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16-48D4-B0F9-595337EC79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'Ratio Analysis'!$C$6:$K$6</c:f>
              <c:numCache>
                <c:formatCode>General</c:formatCode>
                <c:ptCount val="9"/>
                <c:pt idx="0">
                  <c:v>1.5944547213540006</c:v>
                </c:pt>
                <c:pt idx="1">
                  <c:v>1.5501122093300865</c:v>
                </c:pt>
                <c:pt idx="2">
                  <c:v>1.4075015320908106</c:v>
                </c:pt>
                <c:pt idx="3">
                  <c:v>1.3753492869836048</c:v>
                </c:pt>
                <c:pt idx="4">
                  <c:v>1.3383908876605193</c:v>
                </c:pt>
                <c:pt idx="5">
                  <c:v>1.3686486426629607</c:v>
                </c:pt>
                <c:pt idx="6">
                  <c:v>1.3321372510733043</c:v>
                </c:pt>
                <c:pt idx="7">
                  <c:v>1.3325979831054442</c:v>
                </c:pt>
                <c:pt idx="8">
                  <c:v>1.239852910275268</c:v>
                </c:pt>
              </c:numCache>
            </c:numRef>
          </c:val>
          <c:smooth val="0"/>
          <c:extLst>
            <c:ext xmlns:c16="http://schemas.microsoft.com/office/drawing/2014/chart" uri="{C3380CC4-5D6E-409C-BE32-E72D297353CC}">
              <c16:uniqueId val="{00000003-B816-48D4-B0F9-595337EC79C1}"/>
            </c:ext>
          </c:extLst>
        </c:ser>
        <c:ser>
          <c:idx val="2"/>
          <c:order val="2"/>
          <c:tx>
            <c:strRef>
              <c:f>'Ratio Analysis'!$B$7</c:f>
              <c:strCache>
                <c:ptCount val="1"/>
                <c:pt idx="0">
                  <c:v>Debt to ETNW</c:v>
                </c:pt>
              </c:strCache>
            </c:strRef>
          </c:tx>
          <c:spPr>
            <a:ln w="28575" cap="rnd">
              <a:solidFill>
                <a:schemeClr val="accent3"/>
              </a:solidFill>
              <a:round/>
            </a:ln>
            <a:effectLst/>
          </c:spPr>
          <c:marker>
            <c:symbol val="circle"/>
            <c:size val="8"/>
            <c:spPr>
              <a:solidFill>
                <a:schemeClr val="accent3"/>
              </a:solidFill>
              <a:ln w="9525">
                <a:solidFill>
                  <a:schemeClr val="accent3"/>
                </a:solidFill>
              </a:ln>
              <a:effectLst/>
            </c:spPr>
          </c:marker>
          <c:dLbls>
            <c:dLbl>
              <c:idx val="8"/>
              <c:layout>
                <c:manualLayout>
                  <c:x val="-9.1760133004970927E-3"/>
                  <c:y val="2.7777777777777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16-48D4-B0F9-595337EC79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'Ratio Analysis'!$C$7:$K$7</c:f>
              <c:numCache>
                <c:formatCode>General</c:formatCode>
                <c:ptCount val="9"/>
                <c:pt idx="0">
                  <c:v>1.5944547213540006</c:v>
                </c:pt>
                <c:pt idx="1">
                  <c:v>1.5501122093300865</c:v>
                </c:pt>
                <c:pt idx="2">
                  <c:v>1.4075015320908106</c:v>
                </c:pt>
                <c:pt idx="3">
                  <c:v>1.3753492869836048</c:v>
                </c:pt>
                <c:pt idx="4">
                  <c:v>1.3383908876605193</c:v>
                </c:pt>
                <c:pt idx="5">
                  <c:v>1.3686486426629607</c:v>
                </c:pt>
                <c:pt idx="6">
                  <c:v>1.3321372510733043</c:v>
                </c:pt>
                <c:pt idx="7">
                  <c:v>1.3325979831054442</c:v>
                </c:pt>
                <c:pt idx="8">
                  <c:v>1.239852910275268</c:v>
                </c:pt>
              </c:numCache>
            </c:numRef>
          </c:val>
          <c:smooth val="0"/>
          <c:extLst>
            <c:ext xmlns:c16="http://schemas.microsoft.com/office/drawing/2014/chart" uri="{C3380CC4-5D6E-409C-BE32-E72D297353CC}">
              <c16:uniqueId val="{00000005-B816-48D4-B0F9-595337EC79C1}"/>
            </c:ext>
          </c:extLst>
        </c:ser>
        <c:ser>
          <c:idx val="3"/>
          <c:order val="3"/>
          <c:tx>
            <c:strRef>
              <c:f>Covenants!$B$33</c:f>
              <c:strCache>
                <c:ptCount val="1"/>
                <c:pt idx="0">
                  <c:v>Covenant</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Covenants!$C$33:$K$33</c:f>
              <c:numCache>
                <c:formatCode>0.00%</c:formatCode>
                <c:ptCount val="9"/>
                <c:pt idx="0">
                  <c:v>0.6</c:v>
                </c:pt>
                <c:pt idx="1">
                  <c:v>0.6</c:v>
                </c:pt>
                <c:pt idx="2">
                  <c:v>0.6</c:v>
                </c:pt>
                <c:pt idx="3">
                  <c:v>0.6</c:v>
                </c:pt>
                <c:pt idx="4">
                  <c:v>0.6</c:v>
                </c:pt>
                <c:pt idx="5">
                  <c:v>0.6</c:v>
                </c:pt>
                <c:pt idx="6">
                  <c:v>0.6</c:v>
                </c:pt>
                <c:pt idx="7">
                  <c:v>0.6</c:v>
                </c:pt>
                <c:pt idx="8">
                  <c:v>0.6</c:v>
                </c:pt>
              </c:numCache>
            </c:numRef>
          </c:val>
          <c:smooth val="0"/>
          <c:extLst>
            <c:ext xmlns:c16="http://schemas.microsoft.com/office/drawing/2014/chart" uri="{C3380CC4-5D6E-409C-BE32-E72D297353CC}">
              <c16:uniqueId val="{00000006-B816-48D4-B0F9-595337EC79C1}"/>
            </c:ext>
          </c:extLst>
        </c:ser>
        <c:dLbls>
          <c:showLegendKey val="0"/>
          <c:showVal val="0"/>
          <c:showCatName val="0"/>
          <c:showSerName val="0"/>
          <c:showPercent val="0"/>
          <c:showBubbleSize val="0"/>
        </c:dLbls>
        <c:marker val="1"/>
        <c:smooth val="0"/>
        <c:axId val="371846392"/>
        <c:axId val="371846784"/>
      </c:lineChart>
      <c:dateAx>
        <c:axId val="371846392"/>
        <c:scaling>
          <c:orientation val="minMax"/>
        </c:scaling>
        <c:delete val="0"/>
        <c:axPos val="b"/>
        <c:numFmt formatCode="[$-409]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846784"/>
        <c:crosses val="autoZero"/>
        <c:auto val="1"/>
        <c:lblOffset val="100"/>
        <c:baseTimeUnit val="months"/>
        <c:majorUnit val="3"/>
        <c:majorTimeUnit val="months"/>
      </c:dateAx>
      <c:valAx>
        <c:axId val="3718467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846392"/>
        <c:crosses val="autoZero"/>
        <c:crossBetween val="between"/>
      </c:valAx>
      <c:spPr>
        <a:noFill/>
        <a:ln>
          <a:noFill/>
        </a:ln>
        <a:effectLst/>
      </c:spPr>
    </c:plotArea>
    <c:legend>
      <c:legendPos val="b"/>
      <c:layout>
        <c:manualLayout>
          <c:xMode val="edge"/>
          <c:yMode val="edge"/>
          <c:x val="0.12993219597550307"/>
          <c:y val="0.90301144648585596"/>
          <c:w val="0.87006782191391852"/>
          <c:h val="7.384040536599591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Adj. Working Capital Trends</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'Ratio Analysis'!$B$9</c:f>
              <c:strCache>
                <c:ptCount val="1"/>
                <c:pt idx="0">
                  <c:v>Adjusted Working Capital</c:v>
                </c:pt>
              </c:strCache>
            </c:strRef>
          </c:tx>
          <c:spPr>
            <a:solidFill>
              <a:srgbClr val="E6B9B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'Ratio Analysis'!$C$4:$K$4</c:f>
              <c:numCache>
                <c:formatCode>[$-409]mmm\-yy;@</c:formatCode>
                <c:ptCount val="9"/>
                <c:pt idx="0">
                  <c:v>45747</c:v>
                </c:pt>
                <c:pt idx="1">
                  <c:v>45838</c:v>
                </c:pt>
                <c:pt idx="2">
                  <c:v>45930</c:v>
                </c:pt>
                <c:pt idx="3">
                  <c:v>46022</c:v>
                </c:pt>
                <c:pt idx="4">
                  <c:v>46112</c:v>
                </c:pt>
                <c:pt idx="5">
                  <c:v>46203</c:v>
                </c:pt>
                <c:pt idx="6">
                  <c:v>46295</c:v>
                </c:pt>
                <c:pt idx="7">
                  <c:v>46387</c:v>
                </c:pt>
                <c:pt idx="8">
                  <c:v>46477</c:v>
                </c:pt>
              </c:numCache>
            </c:numRef>
          </c:cat>
          <c:val>
            <c:numRef>
              <c:f>'Ratio Analysis'!$C$9:$K$9</c:f>
              <c:numCache>
                <c:formatCode>"$"#,##0_);[Red]\("$"#,##0\)</c:formatCode>
                <c:ptCount val="9"/>
                <c:pt idx="0">
                  <c:v>176335</c:v>
                </c:pt>
                <c:pt idx="1">
                  <c:v>188331</c:v>
                </c:pt>
                <c:pt idx="2">
                  <c:v>220875</c:v>
                </c:pt>
                <c:pt idx="3">
                  <c:v>256275</c:v>
                </c:pt>
                <c:pt idx="4">
                  <c:v>275587</c:v>
                </c:pt>
                <c:pt idx="5">
                  <c:v>341592</c:v>
                </c:pt>
                <c:pt idx="6">
                  <c:v>344803</c:v>
                </c:pt>
                <c:pt idx="7">
                  <c:v>359006</c:v>
                </c:pt>
                <c:pt idx="8">
                  <c:v>553008</c:v>
                </c:pt>
              </c:numCache>
            </c:numRef>
          </c:val>
          <c:extLst>
            <c:ext xmlns:c16="http://schemas.microsoft.com/office/drawing/2014/chart" uri="{C3380CC4-5D6E-409C-BE32-E72D297353CC}">
              <c16:uniqueId val="{00000000-9DA2-4AC6-80B8-519325B6DA7E}"/>
            </c:ext>
          </c:extLst>
        </c:ser>
        <c:dLbls>
          <c:showLegendKey val="0"/>
          <c:showVal val="0"/>
          <c:showCatName val="0"/>
          <c:showSerName val="0"/>
          <c:showPercent val="0"/>
          <c:showBubbleSize val="0"/>
        </c:dLbls>
        <c:gapWidth val="0"/>
        <c:overlap val="100"/>
        <c:axId val="371847568"/>
        <c:axId val="321433904"/>
      </c:barChart>
      <c:lineChart>
        <c:grouping val="standard"/>
        <c:varyColors val="0"/>
        <c:ser>
          <c:idx val="1"/>
          <c:order val="1"/>
          <c:tx>
            <c:strRef>
              <c:f>'Ratio Analysis'!$B$10</c:f>
              <c:strCache>
                <c:ptCount val="1"/>
                <c:pt idx="0">
                  <c:v>% of TTM Revenue</c:v>
                </c:pt>
              </c:strCache>
            </c:strRef>
          </c:tx>
          <c:spPr>
            <a:ln w="28575" cap="rnd">
              <a:solidFill>
                <a:srgbClr val="A40C22"/>
              </a:solidFill>
              <a:round/>
            </a:ln>
            <a:effectLst/>
          </c:spPr>
          <c:marker>
            <c:symbol val="square"/>
            <c:size val="6"/>
            <c:spPr>
              <a:solidFill>
                <a:srgbClr val="A40C22"/>
              </a:solidFill>
              <a:ln w="9525">
                <a:solidFill>
                  <a:srgbClr val="A40C22"/>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1-9DA2-4AC6-80B8-519325B6DA7E}"/>
                </c:ext>
              </c:extLst>
            </c:dLbl>
            <c:dLbl>
              <c:idx val="1"/>
              <c:delete val="1"/>
              <c:extLst>
                <c:ext xmlns:c15="http://schemas.microsoft.com/office/drawing/2012/chart" uri="{CE6537A1-D6FC-4f65-9D91-7224C49458BB}"/>
                <c:ext xmlns:c16="http://schemas.microsoft.com/office/drawing/2014/chart" uri="{C3380CC4-5D6E-409C-BE32-E72D297353CC}">
                  <c16:uniqueId val="{00000002-9DA2-4AC6-80B8-519325B6DA7E}"/>
                </c:ext>
              </c:extLst>
            </c:dLbl>
            <c:dLbl>
              <c:idx val="2"/>
              <c:delete val="1"/>
              <c:extLst>
                <c:ext xmlns:c15="http://schemas.microsoft.com/office/drawing/2012/chart" uri="{CE6537A1-D6FC-4f65-9D91-7224C49458BB}"/>
                <c:ext xmlns:c16="http://schemas.microsoft.com/office/drawing/2014/chart" uri="{C3380CC4-5D6E-409C-BE32-E72D297353CC}">
                  <c16:uniqueId val="{00000003-9DA2-4AC6-80B8-519325B6DA7E}"/>
                </c:ext>
              </c:extLst>
            </c:dLbl>
            <c:dLbl>
              <c:idx val="3"/>
              <c:delete val="1"/>
              <c:extLst>
                <c:ext xmlns:c15="http://schemas.microsoft.com/office/drawing/2012/chart" uri="{CE6537A1-D6FC-4f65-9D91-7224C49458BB}"/>
                <c:ext xmlns:c16="http://schemas.microsoft.com/office/drawing/2014/chart" uri="{C3380CC4-5D6E-409C-BE32-E72D297353CC}">
                  <c16:uniqueId val="{00000004-9DA2-4AC6-80B8-519325B6DA7E}"/>
                </c:ext>
              </c:extLst>
            </c:dLbl>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'Ratio Analysis'!$C$10:$K$10</c:f>
              <c:numCache>
                <c:formatCode>General</c:formatCode>
                <c:ptCount val="9"/>
                <c:pt idx="0">
                  <c:v>0</c:v>
                </c:pt>
                <c:pt idx="1">
                  <c:v>0</c:v>
                </c:pt>
                <c:pt idx="2">
                  <c:v>0</c:v>
                </c:pt>
                <c:pt idx="3">
                  <c:v>0</c:v>
                </c:pt>
                <c:pt idx="4" formatCode="0.0%">
                  <c:v>328.73723637751692</c:v>
                </c:pt>
                <c:pt idx="5" formatCode="0.0%">
                  <c:v>407.25444938290445</c:v>
                </c:pt>
                <c:pt idx="6" formatCode="0.0%">
                  <c:v>366.72470254397098</c:v>
                </c:pt>
                <c:pt idx="7" formatCode="0.0%">
                  <c:v>329.41921335272497</c:v>
                </c:pt>
                <c:pt idx="8" formatCode="0.0%">
                  <c:v>439.60698273395019</c:v>
                </c:pt>
              </c:numCache>
            </c:numRef>
          </c:val>
          <c:smooth val="0"/>
          <c:extLst>
            <c:ext xmlns:c16="http://schemas.microsoft.com/office/drawing/2014/chart" uri="{C3380CC4-5D6E-409C-BE32-E72D297353CC}">
              <c16:uniqueId val="{00000005-9DA2-4AC6-80B8-519325B6DA7E}"/>
            </c:ext>
          </c:extLst>
        </c:ser>
        <c:dLbls>
          <c:showLegendKey val="0"/>
          <c:showVal val="0"/>
          <c:showCatName val="0"/>
          <c:showSerName val="0"/>
          <c:showPercent val="0"/>
          <c:showBubbleSize val="0"/>
        </c:dLbls>
        <c:marker val="1"/>
        <c:smooth val="0"/>
        <c:axId val="321434688"/>
        <c:axId val="321434296"/>
      </c:lineChart>
      <c:dateAx>
        <c:axId val="371847568"/>
        <c:scaling>
          <c:orientation val="minMax"/>
        </c:scaling>
        <c:delete val="0"/>
        <c:axPos val="b"/>
        <c:numFmt formatCode="[$-409]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1433904"/>
        <c:crosses val="autoZero"/>
        <c:auto val="1"/>
        <c:lblOffset val="100"/>
        <c:baseTimeUnit val="months"/>
        <c:majorUnit val="3"/>
        <c:majorTimeUnit val="months"/>
      </c:dateAx>
      <c:valAx>
        <c:axId val="32143390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847568"/>
        <c:crosses val="autoZero"/>
        <c:crossBetween val="between"/>
      </c:valAx>
      <c:valAx>
        <c:axId val="321434296"/>
        <c:scaling>
          <c:orientation val="minMax"/>
        </c:scaling>
        <c:delete val="0"/>
        <c:axPos val="r"/>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1434688"/>
        <c:crosses val="max"/>
        <c:crossBetween val="between"/>
      </c:valAx>
      <c:catAx>
        <c:axId val="321434688"/>
        <c:scaling>
          <c:orientation val="minMax"/>
        </c:scaling>
        <c:delete val="1"/>
        <c:axPos val="b"/>
        <c:majorTickMark val="out"/>
        <c:minorTickMark val="none"/>
        <c:tickLblPos val="nextTo"/>
        <c:crossAx val="32143429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Risk Asset Turnover Trends</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'Ratio Analysis'!$B$12</c:f>
              <c:strCache>
                <c:ptCount val="1"/>
                <c:pt idx="0">
                  <c:v>Risk Asset Turnover</c:v>
                </c:pt>
              </c:strCache>
            </c:strRef>
          </c:tx>
          <c:spPr>
            <a:solidFill>
              <a:srgbClr val="E6E6E6"/>
            </a:solidFill>
            <a:ln>
              <a:noFill/>
            </a:ln>
            <a:effectLst/>
          </c:spPr>
          <c:invertIfNegative val="0"/>
          <c:cat>
            <c:numRef>
              <c:f>'Ratio Analysis'!$G$4:$K$4</c:f>
              <c:numCache>
                <c:formatCode>[$-409]mmm\-yy;@</c:formatCode>
                <c:ptCount val="5"/>
                <c:pt idx="0">
                  <c:v>46112</c:v>
                </c:pt>
                <c:pt idx="1">
                  <c:v>46203</c:v>
                </c:pt>
                <c:pt idx="2">
                  <c:v>46295</c:v>
                </c:pt>
                <c:pt idx="3">
                  <c:v>46387</c:v>
                </c:pt>
                <c:pt idx="4">
                  <c:v>46477</c:v>
                </c:pt>
              </c:numCache>
            </c:numRef>
          </c:cat>
          <c:val>
            <c:numRef>
              <c:f>'Ratio Analysis'!$G$12:$K$12</c:f>
              <c:numCache>
                <c:formatCode>General</c:formatCode>
                <c:ptCount val="5"/>
                <c:pt idx="0">
                  <c:v>2.1016293945330861E-3</c:v>
                </c:pt>
                <c:pt idx="1">
                  <c:v>2.0269521456232668E-3</c:v>
                </c:pt>
                <c:pt idx="2">
                  <c:v>2.2183049327883257E-3</c:v>
                </c:pt>
                <c:pt idx="3">
                  <c:v>2.4256247322178761E-3</c:v>
                </c:pt>
                <c:pt idx="4">
                  <c:v>2.5883604437389211E-3</c:v>
                </c:pt>
              </c:numCache>
            </c:numRef>
          </c:val>
          <c:extLst>
            <c:ext xmlns:c16="http://schemas.microsoft.com/office/drawing/2014/chart" uri="{C3380CC4-5D6E-409C-BE32-E72D297353CC}">
              <c16:uniqueId val="{00000000-4972-4B0C-BADF-003BA2F7E321}"/>
            </c:ext>
          </c:extLst>
        </c:ser>
        <c:dLbls>
          <c:showLegendKey val="0"/>
          <c:showVal val="0"/>
          <c:showCatName val="0"/>
          <c:showSerName val="0"/>
          <c:showPercent val="0"/>
          <c:showBubbleSize val="0"/>
        </c:dLbls>
        <c:gapWidth val="0"/>
        <c:overlap val="100"/>
        <c:axId val="321435472"/>
        <c:axId val="557727024"/>
      </c:barChart>
      <c:lineChart>
        <c:grouping val="standard"/>
        <c:varyColors val="0"/>
        <c:ser>
          <c:idx val="1"/>
          <c:order val="1"/>
          <c:tx>
            <c:strRef>
              <c:f>'Ratio Analysis'!$B$13</c:f>
              <c:strCache>
                <c:ptCount val="1"/>
                <c:pt idx="0">
                  <c:v>Risk Asset Days in Inventory</c:v>
                </c:pt>
              </c:strCache>
            </c:strRef>
          </c:tx>
          <c:spPr>
            <a:ln w="28575" cap="rnd">
              <a:solidFill>
                <a:srgbClr val="585858"/>
              </a:solidFill>
              <a:round/>
            </a:ln>
            <a:effectLst/>
          </c:spPr>
          <c:marker>
            <c:symbol val="square"/>
            <c:size val="6"/>
            <c:spPr>
              <a:solidFill>
                <a:srgbClr val="585858"/>
              </a:solidFill>
              <a:ln w="9525">
                <a:solidFill>
                  <a:srgbClr val="585858"/>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'Ratio Analysis'!$G$4:$K$4</c:f>
              <c:numCache>
                <c:formatCode>[$-409]mmm\-yy;@</c:formatCode>
                <c:ptCount val="5"/>
                <c:pt idx="0">
                  <c:v>46112</c:v>
                </c:pt>
                <c:pt idx="1">
                  <c:v>46203</c:v>
                </c:pt>
                <c:pt idx="2">
                  <c:v>46295</c:v>
                </c:pt>
                <c:pt idx="3">
                  <c:v>46387</c:v>
                </c:pt>
                <c:pt idx="4">
                  <c:v>46477</c:v>
                </c:pt>
              </c:numCache>
            </c:numRef>
          </c:cat>
          <c:val>
            <c:numRef>
              <c:f>'Ratio Analysis'!$G$13:$K$13</c:f>
              <c:numCache>
                <c:formatCode>0" days"</c:formatCode>
                <c:ptCount val="5"/>
                <c:pt idx="0">
                  <c:v>173674.76918121957</c:v>
                </c:pt>
                <c:pt idx="1">
                  <c:v>180073.31884382811</c:v>
                </c:pt>
                <c:pt idx="2">
                  <c:v>164540.04794607239</c:v>
                </c:pt>
                <c:pt idx="3">
                  <c:v>150476.69787991539</c:v>
                </c:pt>
                <c:pt idx="4">
                  <c:v>141015.90869344017</c:v>
                </c:pt>
              </c:numCache>
            </c:numRef>
          </c:val>
          <c:smooth val="0"/>
          <c:extLst>
            <c:ext xmlns:c16="http://schemas.microsoft.com/office/drawing/2014/chart" uri="{C3380CC4-5D6E-409C-BE32-E72D297353CC}">
              <c16:uniqueId val="{00000001-4972-4B0C-BADF-003BA2F7E321}"/>
            </c:ext>
          </c:extLst>
        </c:ser>
        <c:dLbls>
          <c:showLegendKey val="0"/>
          <c:showVal val="0"/>
          <c:showCatName val="0"/>
          <c:showSerName val="0"/>
          <c:showPercent val="0"/>
          <c:showBubbleSize val="0"/>
        </c:dLbls>
        <c:marker val="1"/>
        <c:smooth val="0"/>
        <c:axId val="557727808"/>
        <c:axId val="557727416"/>
      </c:lineChart>
      <c:dateAx>
        <c:axId val="321435472"/>
        <c:scaling>
          <c:orientation val="minMax"/>
        </c:scaling>
        <c:delete val="0"/>
        <c:axPos val="b"/>
        <c:numFmt formatCode="[$-409]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7727024"/>
        <c:crosses val="autoZero"/>
        <c:auto val="1"/>
        <c:lblOffset val="100"/>
        <c:baseTimeUnit val="months"/>
        <c:majorUnit val="3"/>
        <c:majorTimeUnit val="months"/>
      </c:dateAx>
      <c:valAx>
        <c:axId val="557727024"/>
        <c:scaling>
          <c:orientation val="minMax"/>
          <c:max val="4.5"/>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1435472"/>
        <c:crosses val="autoZero"/>
        <c:crossBetween val="between"/>
      </c:valAx>
      <c:valAx>
        <c:axId val="557727416"/>
        <c:scaling>
          <c:orientation val="minMax"/>
        </c:scaling>
        <c:delete val="0"/>
        <c:axPos val="r"/>
        <c:numFmt formatCode="0&quot; days&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7727808"/>
        <c:crosses val="max"/>
        <c:crossBetween val="between"/>
      </c:valAx>
      <c:dateAx>
        <c:axId val="557727808"/>
        <c:scaling>
          <c:orientation val="minMax"/>
        </c:scaling>
        <c:delete val="1"/>
        <c:axPos val="b"/>
        <c:numFmt formatCode="[$-409]mmm\-yy;@" sourceLinked="1"/>
        <c:majorTickMark val="out"/>
        <c:minorTickMark val="none"/>
        <c:tickLblPos val="nextTo"/>
        <c:crossAx val="557727416"/>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Lot Inventory &amp; Months of Supply</a:t>
            </a:r>
          </a:p>
        </c:rich>
      </c:tx>
      <c:layout>
        <c:manualLayout>
          <c:xMode val="edge"/>
          <c:yMode val="edge"/>
          <c:x val="0.20944453230077756"/>
          <c:y val="4.4719133277192624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954812551416147"/>
          <c:y val="0.12234964747053677"/>
          <c:w val="0.85262731047507956"/>
          <c:h val="0.61769831712212453"/>
        </c:manualLayout>
      </c:layout>
      <c:barChart>
        <c:barDir val="col"/>
        <c:grouping val="stacked"/>
        <c:varyColors val="0"/>
        <c:ser>
          <c:idx val="0"/>
          <c:order val="0"/>
          <c:tx>
            <c:strRef>
              <c:f>'Graph Support'!$B$32</c:f>
              <c:strCache>
                <c:ptCount val="1"/>
                <c:pt idx="0">
                  <c:v>Lots Owned &amp; Controlled</c:v>
                </c:pt>
              </c:strCache>
            </c:strRef>
          </c:tx>
          <c:spPr>
            <a:solidFill>
              <a:srgbClr val="F89EAB"/>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Support'!$C$31:$N$31</c:f>
              <c:numCache>
                <c:formatCode>[$-409]mmm\-yy;@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Support'!$C$32:$N$32</c:f>
              <c:numCache>
                <c:formatCode>_(* #,##0_);_(* \(#,##0\);_(* "-"??_);_(@_)</c:formatCode>
                <c:ptCount val="12"/>
                <c:pt idx="0">
                  <c:v>64756</c:v>
                </c:pt>
                <c:pt idx="1">
                  <c:v>64756</c:v>
                </c:pt>
                <c:pt idx="2">
                  <c:v>64756</c:v>
                </c:pt>
                <c:pt idx="3">
                  <c:v>64756</c:v>
                </c:pt>
                <c:pt idx="4">
                  <c:v>64756</c:v>
                </c:pt>
                <c:pt idx="5">
                  <c:v>64756</c:v>
                </c:pt>
                <c:pt idx="6">
                  <c:v>60842</c:v>
                </c:pt>
                <c:pt idx="7">
                  <c:v>60842</c:v>
                </c:pt>
                <c:pt idx="8">
                  <c:v>60842</c:v>
                </c:pt>
                <c:pt idx="9">
                  <c:v>59028</c:v>
                </c:pt>
                <c:pt idx="10">
                  <c:v>59028</c:v>
                </c:pt>
                <c:pt idx="11">
                  <c:v>59028</c:v>
                </c:pt>
              </c:numCache>
            </c:numRef>
          </c:val>
          <c:extLst>
            <c:ext xmlns:c16="http://schemas.microsoft.com/office/drawing/2014/chart" uri="{C3380CC4-5D6E-409C-BE32-E72D297353CC}">
              <c16:uniqueId val="{00000000-06C0-4ACF-BDF8-00B1ABE74754}"/>
            </c:ext>
          </c:extLst>
        </c:ser>
        <c:dLbls>
          <c:showLegendKey val="0"/>
          <c:showVal val="0"/>
          <c:showCatName val="0"/>
          <c:showSerName val="0"/>
          <c:showPercent val="0"/>
          <c:showBubbleSize val="0"/>
        </c:dLbls>
        <c:gapWidth val="45"/>
        <c:overlap val="100"/>
        <c:axId val="548134224"/>
        <c:axId val="548134616"/>
      </c:barChart>
      <c:lineChart>
        <c:grouping val="standard"/>
        <c:varyColors val="0"/>
        <c:ser>
          <c:idx val="1"/>
          <c:order val="1"/>
          <c:tx>
            <c:strRef>
              <c:f>'Graph Support'!$B$34</c:f>
              <c:strCache>
                <c:ptCount val="1"/>
                <c:pt idx="0">
                  <c:v>Lot MOS</c:v>
                </c:pt>
              </c:strCache>
            </c:strRef>
          </c:tx>
          <c:spPr>
            <a:ln w="28575" cap="rnd">
              <a:solidFill>
                <a:srgbClr val="A40C22"/>
              </a:solidFill>
              <a:round/>
            </a:ln>
            <a:effectLst/>
          </c:spPr>
          <c:marker>
            <c:symbol val="square"/>
            <c:size val="5"/>
            <c:spPr>
              <a:solidFill>
                <a:srgbClr val="A40C22"/>
              </a:solidFill>
              <a:ln w="9525">
                <a:solidFill>
                  <a:srgbClr val="A40C22"/>
                </a:solidFill>
              </a:ln>
              <a:effectLst/>
            </c:spPr>
          </c:marker>
          <c:dLbls>
            <c:dLbl>
              <c:idx val="1"/>
              <c:layout>
                <c:manualLayout>
                  <c:x val="-5.4408046065161662E-2"/>
                  <c:y val="-3.7904282892484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C0-4ACF-BDF8-00B1ABE74754}"/>
                </c:ext>
              </c:extLst>
            </c:dLbl>
            <c:dLbl>
              <c:idx val="2"/>
              <c:layout>
                <c:manualLayout>
                  <c:x val="-4.7824574616542236E-2"/>
                  <c:y val="-3.02203952447120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C0-4ACF-BDF8-00B1ABE74754}"/>
                </c:ext>
              </c:extLst>
            </c:dLbl>
            <c:dLbl>
              <c:idx val="3"/>
              <c:layout>
                <c:manualLayout>
                  <c:x val="-4.7691003341067691E-2"/>
                  <c:y val="-4.58660573567517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C0-4ACF-BDF8-00B1ABE74754}"/>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Support'!$C$31:$N$31</c:f>
              <c:numCache>
                <c:formatCode>[$-409]mmm\-yy;@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Support'!$C$34:$N$34</c:f>
              <c:numCache>
                <c:formatCode>_(* #,##0_);_(* \(#,##0\);_(* "-"??_);_(@_)</c:formatCode>
                <c:ptCount val="12"/>
                <c:pt idx="0">
                  <c:v>130.95983371720692</c:v>
                </c:pt>
                <c:pt idx="1">
                  <c:v>133.44873776403915</c:v>
                </c:pt>
                <c:pt idx="2">
                  <c:v>136.03407831008926</c:v>
                </c:pt>
                <c:pt idx="3">
                  <c:v>141.76696667477498</c:v>
                </c:pt>
                <c:pt idx="4">
                  <c:v>148.00431718621039</c:v>
                </c:pt>
                <c:pt idx="5">
                  <c:v>154.78494123896155</c:v>
                </c:pt>
                <c:pt idx="6">
                  <c:v>151.16024844720496</c:v>
                </c:pt>
                <c:pt idx="7">
                  <c:v>157.35</c:v>
                </c:pt>
                <c:pt idx="8">
                  <c:v>164.10519217801755</c:v>
                </c:pt>
                <c:pt idx="9">
                  <c:v>160.59613059250302</c:v>
                </c:pt>
                <c:pt idx="10">
                  <c:v>162.00411679499888</c:v>
                </c:pt>
                <c:pt idx="11">
                  <c:v>163.43700969081678</c:v>
                </c:pt>
              </c:numCache>
            </c:numRef>
          </c:val>
          <c:smooth val="0"/>
          <c:extLst>
            <c:ext xmlns:c16="http://schemas.microsoft.com/office/drawing/2014/chart" uri="{C3380CC4-5D6E-409C-BE32-E72D297353CC}">
              <c16:uniqueId val="{00000004-06C0-4ACF-BDF8-00B1ABE74754}"/>
            </c:ext>
          </c:extLst>
        </c:ser>
        <c:dLbls>
          <c:showLegendKey val="0"/>
          <c:showVal val="0"/>
          <c:showCatName val="0"/>
          <c:showSerName val="0"/>
          <c:showPercent val="0"/>
          <c:showBubbleSize val="0"/>
        </c:dLbls>
        <c:marker val="1"/>
        <c:smooth val="0"/>
        <c:axId val="548135400"/>
        <c:axId val="548135008"/>
      </c:lineChart>
      <c:dateAx>
        <c:axId val="548134224"/>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48134616"/>
        <c:crosses val="autoZero"/>
        <c:auto val="1"/>
        <c:lblOffset val="100"/>
        <c:baseTimeUnit val="months"/>
      </c:dateAx>
      <c:valAx>
        <c:axId val="54813461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48134224"/>
        <c:crosses val="autoZero"/>
        <c:crossBetween val="between"/>
      </c:valAx>
      <c:valAx>
        <c:axId val="548135008"/>
        <c:scaling>
          <c:orientation val="minMax"/>
          <c:max val="18"/>
          <c:min val="0"/>
        </c:scaling>
        <c:delete val="0"/>
        <c:axPos val="r"/>
        <c:numFmt formatCode="_(* #,##0_);_(* \(#,##0\);_(* &quot;-&quot;??_);_(@_)" sourceLinked="1"/>
        <c:majorTickMark val="out"/>
        <c:minorTickMark val="none"/>
        <c:tickLblPos val="none"/>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48135400"/>
        <c:crosses val="max"/>
        <c:crossBetween val="between"/>
      </c:valAx>
      <c:dateAx>
        <c:axId val="548135400"/>
        <c:scaling>
          <c:orientation val="minMax"/>
        </c:scaling>
        <c:delete val="1"/>
        <c:axPos val="b"/>
        <c:numFmt formatCode="[$-409]mmm\-yy;@" sourceLinked="1"/>
        <c:majorTickMark val="out"/>
        <c:minorTickMark val="none"/>
        <c:tickLblPos val="nextTo"/>
        <c:crossAx val="548135008"/>
        <c:crosses val="autoZero"/>
        <c:auto val="1"/>
        <c:lblOffset val="100"/>
        <c:baseTimeUnit val="months"/>
      </c:dateAx>
      <c:spPr>
        <a:noFill/>
        <a:ln>
          <a:noFill/>
        </a:ln>
        <a:effectLst/>
      </c:spPr>
    </c:plotArea>
    <c:legend>
      <c:legendPos val="b"/>
      <c:layout>
        <c:manualLayout>
          <c:xMode val="edge"/>
          <c:yMode val="edge"/>
          <c:x val="0.15523628641897147"/>
          <c:y val="0.89431773969430295"/>
          <c:w val="0.69126408926156424"/>
          <c:h val="9.0350338045482481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Unit Inventory &amp; Months of Supply</a:t>
            </a:r>
          </a:p>
        </c:rich>
      </c:tx>
      <c:layout>
        <c:manualLayout>
          <c:xMode val="edge"/>
          <c:yMode val="edge"/>
          <c:x val="0.22287869308048588"/>
          <c:y val="1.534709736086138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662729967834139"/>
          <c:y val="3.633167716831219E-2"/>
          <c:w val="0.85262731047507956"/>
          <c:h val="0.61769831712212453"/>
        </c:manualLayout>
      </c:layout>
      <c:barChart>
        <c:barDir val="col"/>
        <c:grouping val="stacked"/>
        <c:varyColors val="0"/>
        <c:ser>
          <c:idx val="2"/>
          <c:order val="0"/>
          <c:tx>
            <c:strRef>
              <c:f>'Graph Support'!$B$37</c:f>
              <c:strCache>
                <c:ptCount val="1"/>
                <c:pt idx="0">
                  <c:v>Units in Inventory</c:v>
                </c:pt>
              </c:strCache>
            </c:strRef>
          </c:tx>
          <c:spPr>
            <a:solidFill>
              <a:srgbClr val="E6E6E6"/>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Support'!$C$31:$N$31</c:f>
              <c:numCache>
                <c:formatCode>[$-409]mmm\-yy;@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Support'!$C$37:$N$37</c:f>
              <c:numCache>
                <c:formatCode>_(* #,##0_);_(* \(#,##0\);_(* "-"??_);_(@_)</c:formatCode>
                <c:ptCount val="12"/>
                <c:pt idx="0">
                  <c:v>1647</c:v>
                </c:pt>
                <c:pt idx="1">
                  <c:v>1647</c:v>
                </c:pt>
                <c:pt idx="2">
                  <c:v>1647</c:v>
                </c:pt>
                <c:pt idx="3">
                  <c:v>2936</c:v>
                </c:pt>
                <c:pt idx="4">
                  <c:v>2936</c:v>
                </c:pt>
                <c:pt idx="5">
                  <c:v>2936</c:v>
                </c:pt>
                <c:pt idx="6">
                  <c:v>464.66666666666669</c:v>
                </c:pt>
                <c:pt idx="7">
                  <c:v>464.66666666666669</c:v>
                </c:pt>
                <c:pt idx="8">
                  <c:v>464.66666666666669</c:v>
                </c:pt>
                <c:pt idx="9">
                  <c:v>1819.6666666666667</c:v>
                </c:pt>
                <c:pt idx="10">
                  <c:v>1819.6666666666667</c:v>
                </c:pt>
                <c:pt idx="11">
                  <c:v>1819.6666666666667</c:v>
                </c:pt>
              </c:numCache>
            </c:numRef>
          </c:val>
          <c:extLst>
            <c:ext xmlns:c16="http://schemas.microsoft.com/office/drawing/2014/chart" uri="{C3380CC4-5D6E-409C-BE32-E72D297353CC}">
              <c16:uniqueId val="{00000000-3E52-41AA-BF43-F033CED87893}"/>
            </c:ext>
          </c:extLst>
        </c:ser>
        <c:dLbls>
          <c:showLegendKey val="0"/>
          <c:showVal val="0"/>
          <c:showCatName val="0"/>
          <c:showSerName val="0"/>
          <c:showPercent val="0"/>
          <c:showBubbleSize val="0"/>
        </c:dLbls>
        <c:gapWidth val="45"/>
        <c:overlap val="100"/>
        <c:axId val="374102208"/>
        <c:axId val="374102600"/>
      </c:barChart>
      <c:lineChart>
        <c:grouping val="standard"/>
        <c:varyColors val="0"/>
        <c:ser>
          <c:idx val="3"/>
          <c:order val="1"/>
          <c:tx>
            <c:strRef>
              <c:f>'Graph Support'!$B$39</c:f>
              <c:strCache>
                <c:ptCount val="1"/>
                <c:pt idx="0">
                  <c:v>Inventory MOS</c:v>
                </c:pt>
              </c:strCache>
            </c:strRef>
          </c:tx>
          <c:spPr>
            <a:ln w="28575" cap="rnd">
              <a:solidFill>
                <a:srgbClr val="585858"/>
              </a:solidFill>
              <a:round/>
            </a:ln>
            <a:effectLst/>
          </c:spPr>
          <c:marker>
            <c:symbol val="x"/>
            <c:size val="5"/>
            <c:spPr>
              <a:solidFill>
                <a:srgbClr val="585858"/>
              </a:solidFill>
              <a:ln w="9525">
                <a:solidFill>
                  <a:srgbClr val="585858"/>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'Graph Support'!$C$39:$N$39</c:f>
              <c:numCache>
                <c:formatCode>_(* #,##0_);_(* \(#,##0\);_(* "-"??_);_(@_)</c:formatCode>
                <c:ptCount val="12"/>
                <c:pt idx="0">
                  <c:v>3.3308241110050001</c:v>
                </c:pt>
                <c:pt idx="1">
                  <c:v>3.3941267387944358</c:v>
                </c:pt>
                <c:pt idx="2">
                  <c:v>3.4598821263931838</c:v>
                </c:pt>
                <c:pt idx="3">
                  <c:v>6.4276331792751149</c:v>
                </c:pt>
                <c:pt idx="4">
                  <c:v>6.7104310837407137</c:v>
                </c:pt>
                <c:pt idx="5">
                  <c:v>7.0178606998207282</c:v>
                </c:pt>
                <c:pt idx="6">
                  <c:v>1.1544513457556935</c:v>
                </c:pt>
                <c:pt idx="7">
                  <c:v>1.2017241379310344</c:v>
                </c:pt>
                <c:pt idx="8">
                  <c:v>1.2533153517644415</c:v>
                </c:pt>
                <c:pt idx="9">
                  <c:v>4.9507255139056827</c:v>
                </c:pt>
                <c:pt idx="10">
                  <c:v>4.9941297552794088</c:v>
                </c:pt>
                <c:pt idx="11">
                  <c:v>5.0383017997231194</c:v>
                </c:pt>
              </c:numCache>
            </c:numRef>
          </c:val>
          <c:smooth val="0"/>
          <c:extLst>
            <c:ext xmlns:c16="http://schemas.microsoft.com/office/drawing/2014/chart" uri="{C3380CC4-5D6E-409C-BE32-E72D297353CC}">
              <c16:uniqueId val="{00000001-3E52-41AA-BF43-F033CED87893}"/>
            </c:ext>
          </c:extLst>
        </c:ser>
        <c:dLbls>
          <c:showLegendKey val="0"/>
          <c:showVal val="0"/>
          <c:showCatName val="0"/>
          <c:showSerName val="0"/>
          <c:showPercent val="0"/>
          <c:showBubbleSize val="0"/>
        </c:dLbls>
        <c:marker val="1"/>
        <c:smooth val="0"/>
        <c:axId val="393187664"/>
        <c:axId val="497080992"/>
      </c:lineChart>
      <c:dateAx>
        <c:axId val="374102208"/>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74102600"/>
        <c:crosses val="autoZero"/>
        <c:auto val="1"/>
        <c:lblOffset val="100"/>
        <c:baseTimeUnit val="months"/>
      </c:dateAx>
      <c:valAx>
        <c:axId val="37410260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74102208"/>
        <c:crosses val="autoZero"/>
        <c:crossBetween val="between"/>
      </c:valAx>
      <c:valAx>
        <c:axId val="497080992"/>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93187664"/>
        <c:crosses val="max"/>
        <c:crossBetween val="between"/>
      </c:valAx>
      <c:catAx>
        <c:axId val="393187664"/>
        <c:scaling>
          <c:orientation val="minMax"/>
        </c:scaling>
        <c:delete val="1"/>
        <c:axPos val="b"/>
        <c:majorTickMark val="out"/>
        <c:minorTickMark val="none"/>
        <c:tickLblPos val="nextTo"/>
        <c:crossAx val="497080992"/>
        <c:crosses val="autoZero"/>
        <c:auto val="1"/>
        <c:lblAlgn val="ctr"/>
        <c:lblOffset val="100"/>
        <c:noMultiLvlLbl val="0"/>
      </c:catAx>
      <c:spPr>
        <a:noFill/>
        <a:ln>
          <a:noFill/>
        </a:ln>
        <a:effectLst/>
      </c:spPr>
    </c:plotArea>
    <c:legend>
      <c:legendPos val="b"/>
      <c:layout>
        <c:manualLayout>
          <c:xMode val="edge"/>
          <c:yMode val="edge"/>
          <c:x val="0.16371631315759677"/>
          <c:y val="0.90316883314787122"/>
          <c:w val="0.67256710789517471"/>
          <c:h val="9.6831166852128794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mn-cs"/>
              </a:defRPr>
            </a:pPr>
            <a:r>
              <a:rPr lang="en-US" sz="1100" b="1"/>
              <a:t>Global Inventory Status</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mn-cs"/>
            </a:defRPr>
          </a:pPr>
          <a:endParaRPr lang="en-US"/>
        </a:p>
      </c:txPr>
    </c:title>
    <c:autoTitleDeleted val="0"/>
    <c:plotArea>
      <c:layout>
        <c:manualLayout>
          <c:layoutTarget val="inner"/>
          <c:xMode val="edge"/>
          <c:yMode val="edge"/>
          <c:x val="0.15540088895923188"/>
          <c:y val="0.19701628297828033"/>
          <c:w val="0.49869313482216709"/>
          <c:h val="0.7789660912872729"/>
        </c:manualLayout>
      </c:layout>
      <c:pieChart>
        <c:varyColors val="1"/>
        <c:ser>
          <c:idx val="0"/>
          <c:order val="0"/>
          <c:tx>
            <c:strRef>
              <c:f>'Graph Support'!$N$14</c:f>
              <c:strCache>
                <c:ptCount val="1"/>
                <c:pt idx="0">
                  <c:v>Mar-26</c:v>
                </c:pt>
              </c:strCache>
            </c:strRef>
          </c:tx>
          <c:dPt>
            <c:idx val="0"/>
            <c:bubble3D val="0"/>
            <c:spPr>
              <a:solidFill>
                <a:srgbClr val="A40C22"/>
              </a:solidFill>
              <a:ln w="19050">
                <a:solidFill>
                  <a:schemeClr val="lt1"/>
                </a:solidFill>
              </a:ln>
              <a:effectLst/>
            </c:spPr>
            <c:extLst>
              <c:ext xmlns:c16="http://schemas.microsoft.com/office/drawing/2014/chart" uri="{C3380CC4-5D6E-409C-BE32-E72D297353CC}">
                <c16:uniqueId val="{00000001-C04D-4B8F-85C1-1199051DD903}"/>
              </c:ext>
            </c:extLst>
          </c:dPt>
          <c:dPt>
            <c:idx val="1"/>
            <c:bubble3D val="0"/>
            <c:spPr>
              <a:solidFill>
                <a:srgbClr val="E6E6E6"/>
              </a:solidFill>
              <a:ln w="19050">
                <a:solidFill>
                  <a:schemeClr val="lt1"/>
                </a:solidFill>
              </a:ln>
              <a:effectLst/>
            </c:spPr>
            <c:extLst>
              <c:ext xmlns:c16="http://schemas.microsoft.com/office/drawing/2014/chart" uri="{C3380CC4-5D6E-409C-BE32-E72D297353CC}">
                <c16:uniqueId val="{00000003-C04D-4B8F-85C1-1199051DD903}"/>
              </c:ext>
            </c:extLst>
          </c:dPt>
          <c:dPt>
            <c:idx val="2"/>
            <c:bubble3D val="0"/>
            <c:spPr>
              <a:solidFill>
                <a:srgbClr val="F89EAB"/>
              </a:solidFill>
              <a:ln w="19050">
                <a:solidFill>
                  <a:schemeClr val="lt1"/>
                </a:solidFill>
              </a:ln>
              <a:effectLst/>
            </c:spPr>
            <c:extLst>
              <c:ext xmlns:c16="http://schemas.microsoft.com/office/drawing/2014/chart" uri="{C3380CC4-5D6E-409C-BE32-E72D297353CC}">
                <c16:uniqueId val="{00000005-C04D-4B8F-85C1-1199051DD903}"/>
              </c:ext>
            </c:extLst>
          </c:dPt>
          <c:dPt>
            <c:idx val="3"/>
            <c:bubble3D val="0"/>
            <c:spPr>
              <a:solidFill>
                <a:srgbClr val="000000"/>
              </a:solidFill>
              <a:ln w="19050">
                <a:solidFill>
                  <a:schemeClr val="lt1"/>
                </a:solidFill>
              </a:ln>
              <a:effectLst/>
            </c:spPr>
            <c:extLst>
              <c:ext xmlns:c16="http://schemas.microsoft.com/office/drawing/2014/chart" uri="{C3380CC4-5D6E-409C-BE32-E72D297353CC}">
                <c16:uniqueId val="{00000007-C04D-4B8F-85C1-1199051DD903}"/>
              </c:ext>
            </c:extLst>
          </c:dPt>
          <c:dPt>
            <c:idx val="4"/>
            <c:bubble3D val="0"/>
            <c:spPr>
              <a:solidFill>
                <a:srgbClr val="F20000"/>
              </a:solidFill>
              <a:ln w="19050">
                <a:solidFill>
                  <a:schemeClr val="lt1"/>
                </a:solidFill>
              </a:ln>
              <a:effectLst/>
            </c:spPr>
            <c:extLst>
              <c:ext xmlns:c16="http://schemas.microsoft.com/office/drawing/2014/chart" uri="{C3380CC4-5D6E-409C-BE32-E72D297353CC}">
                <c16:uniqueId val="{00000009-C04D-4B8F-85C1-1199051DD903}"/>
              </c:ext>
            </c:extLst>
          </c:dPt>
          <c:dLbls>
            <c:dLbl>
              <c:idx val="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xmlns:c16="http://schemas.microsoft.com/office/drawing/2014/chart" uri="{C3380CC4-5D6E-409C-BE32-E72D297353CC}">
                  <c16:uniqueId val="{00000001-C04D-4B8F-85C1-1199051DD90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4D-4B8F-85C1-1199051DD903}"/>
                </c:ext>
              </c:extLst>
            </c:dLbl>
            <c:dLbl>
              <c:idx val="3"/>
              <c:layout>
                <c:manualLayout>
                  <c:x val="2.5153105861762187E-4"/>
                  <c:y val="2.796150481189849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4D-4B8F-85C1-1199051DD903}"/>
                </c:ext>
              </c:extLst>
            </c:dLbl>
            <c:dLbl>
              <c:idx val="4"/>
              <c:layout>
                <c:manualLayout>
                  <c:x val="4.1666666666666664E-2"/>
                  <c:y val="2.777777777777777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04D-4B8F-85C1-1199051DD903}"/>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extLst>
          </c:dLbls>
          <c:cat>
            <c:strRef>
              <c:f>'Graph Support'!$B$24:$B$28</c:f>
              <c:strCache>
                <c:ptCount val="5"/>
                <c:pt idx="0">
                  <c:v>Sold</c:v>
                </c:pt>
                <c:pt idx="1">
                  <c:v>Backlog</c:v>
                </c:pt>
                <c:pt idx="2">
                  <c:v>Spec U/C</c:v>
                </c:pt>
                <c:pt idx="3">
                  <c:v>Spec CO</c:v>
                </c:pt>
                <c:pt idx="4">
                  <c:v>Models</c:v>
                </c:pt>
              </c:strCache>
            </c:strRef>
          </c:cat>
          <c:val>
            <c:numRef>
              <c:f>'Graph Support'!$N$24:$N$28</c:f>
              <c:numCache>
                <c:formatCode>0.0%</c:formatCode>
                <c:ptCount val="5"/>
                <c:pt idx="0">
                  <c:v>0</c:v>
                </c:pt>
                <c:pt idx="1">
                  <c:v>0.48285335354300873</c:v>
                </c:pt>
                <c:pt idx="2">
                  <c:v>0.38508904888215234</c:v>
                </c:pt>
                <c:pt idx="3">
                  <c:v>0</c:v>
                </c:pt>
                <c:pt idx="4">
                  <c:v>0.13205759757483895</c:v>
                </c:pt>
              </c:numCache>
            </c:numRef>
          </c:val>
          <c:extLst>
            <c:ext xmlns:c16="http://schemas.microsoft.com/office/drawing/2014/chart" uri="{C3380CC4-5D6E-409C-BE32-E72D297353CC}">
              <c16:uniqueId val="{0000000A-C04D-4B8F-85C1-1199051DD903}"/>
            </c:ext>
          </c:extLst>
        </c:ser>
        <c:dLbls>
          <c:dLblPos val="inEnd"/>
          <c:showLegendKey val="0"/>
          <c:showVal val="1"/>
          <c:showCatName val="0"/>
          <c:showSerName val="0"/>
          <c:showPercent val="0"/>
          <c:showBubbleSize val="0"/>
          <c:showLeaderLines val="0"/>
        </c:dLbls>
        <c:firstSliceAng val="0"/>
      </c:pieChart>
      <c:spPr>
        <a:noFill/>
        <a:ln>
          <a:noFill/>
        </a:ln>
        <a:effectLst/>
      </c:spPr>
    </c:plotArea>
    <c:legend>
      <c:legendPos val="r"/>
      <c:layout>
        <c:manualLayout>
          <c:xMode val="edge"/>
          <c:yMode val="edge"/>
          <c:x val="0.63397542888186376"/>
          <c:y val="0.27976723839752587"/>
          <c:w val="0.25353492908149577"/>
          <c:h val="0.49537528739140163"/>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Net Sales and Closings</a:t>
            </a:r>
          </a:p>
        </c:rich>
      </c:tx>
      <c:overlay val="0"/>
      <c:spPr>
        <a:noFill/>
        <a:ln>
          <a:noFill/>
        </a:ln>
        <a:effectLst/>
      </c:spPr>
      <c:txPr>
        <a:bodyPr rot="0" spcFirstLastPara="1" vertOverflow="ellipsis" vert="horz" wrap="square" anchor="ctr" anchorCtr="1"/>
        <a:lstStyle/>
        <a:p>
          <a:pPr algn="ct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7.5849868766404205E-2"/>
          <c:y val="0.13446425814420257"/>
          <c:w val="0.87972756715827471"/>
          <c:h val="0.59709001080747259"/>
        </c:manualLayout>
      </c:layout>
      <c:lineChart>
        <c:grouping val="standard"/>
        <c:varyColors val="0"/>
        <c:ser>
          <c:idx val="0"/>
          <c:order val="0"/>
          <c:tx>
            <c:strRef>
              <c:f>'Graph Support'!$B$4</c:f>
              <c:strCache>
                <c:ptCount val="1"/>
                <c:pt idx="0">
                  <c:v>Monthly Net Sales</c:v>
                </c:pt>
              </c:strCache>
            </c:strRef>
          </c:tx>
          <c:spPr>
            <a:ln w="28575" cap="rnd">
              <a:solidFill>
                <a:srgbClr val="585858"/>
              </a:solidFill>
              <a:round/>
            </a:ln>
            <a:effectLst/>
          </c:spPr>
          <c:marker>
            <c:symbol val="square"/>
            <c:size val="5"/>
            <c:spPr>
              <a:solidFill>
                <a:srgbClr val="585858"/>
              </a:solidFill>
              <a:ln w="9525">
                <a:solidFill>
                  <a:srgbClr val="585858"/>
                </a:solidFill>
              </a:ln>
              <a:effectLst/>
            </c:spPr>
          </c:marker>
          <c:dLbls>
            <c:dLbl>
              <c:idx val="0"/>
              <c:layout>
                <c:manualLayout>
                  <c:x val="-4.8054145516074454E-2"/>
                  <c:y val="4.57124187277420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D3-4F72-ABED-650932E1E2C6}"/>
                </c:ext>
              </c:extLst>
            </c:dLbl>
            <c:dLbl>
              <c:idx val="1"/>
              <c:layout>
                <c:manualLayout>
                  <c:x val="-4.8054145516074481E-2"/>
                  <c:y val="4.27003427535279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D3-4F72-ABED-650932E1E2C6}"/>
                </c:ext>
              </c:extLst>
            </c:dLbl>
            <c:dLbl>
              <c:idx val="2"/>
              <c:layout>
                <c:manualLayout>
                  <c:x val="-4.5400961935595646E-2"/>
                  <c:y val="-3.47763583493972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D3-4F72-ABED-650932E1E2C6}"/>
                </c:ext>
              </c:extLst>
            </c:dLbl>
            <c:dLbl>
              <c:idx val="3"/>
              <c:layout>
                <c:manualLayout>
                  <c:x val="-4.5400961935595674E-2"/>
                  <c:y val="-5.05120956633520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D3-4F72-ABED-650932E1E2C6}"/>
                </c:ext>
              </c:extLst>
            </c:dLbl>
            <c:dLbl>
              <c:idx val="4"/>
              <c:layout>
                <c:manualLayout>
                  <c:x val="-3.790186125211506E-2"/>
                  <c:y val="3.46474118121126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D3-4F72-ABED-650932E1E2C6}"/>
                </c:ext>
              </c:extLst>
            </c:dLbl>
            <c:dLbl>
              <c:idx val="8"/>
              <c:layout>
                <c:manualLayout>
                  <c:x val="-5.8206429780033965E-2"/>
                  <c:y val="-7.6162657973648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D3-4F72-ABED-650932E1E2C6}"/>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tx1"/>
                </a:solidFill>
                <a:prstDash val="sysDot"/>
              </a:ln>
              <a:effectLst/>
            </c:spPr>
            <c:trendlineType val="linear"/>
            <c:dispRSqr val="0"/>
            <c:dispEq val="0"/>
          </c:trendline>
          <c:trendline>
            <c:spPr>
              <a:ln w="19050" cap="rnd">
                <a:solidFill>
                  <a:srgbClr val="000000"/>
                </a:solidFill>
                <a:prstDash val="sysDot"/>
              </a:ln>
              <a:effectLst/>
            </c:spPr>
            <c:trendlineType val="linear"/>
            <c:dispRSqr val="0"/>
            <c:dispEq val="0"/>
          </c:trendline>
          <c:cat>
            <c:strRef>
              <c:f>'Graph Support'!$C$2:$N$3</c:f>
              <c:strCache>
                <c:ptCount val="12"/>
                <c:pt idx="0">
                  <c:v>Apr-25</c:v>
                </c:pt>
                <c:pt idx="1">
                  <c:v>May-25</c:v>
                </c:pt>
                <c:pt idx="2">
                  <c:v>Jun-25</c:v>
                </c:pt>
                <c:pt idx="3">
                  <c:v>Jul-25</c:v>
                </c:pt>
                <c:pt idx="4">
                  <c:v>Aug-25</c:v>
                </c:pt>
                <c:pt idx="5">
                  <c:v>Sep-25</c:v>
                </c:pt>
                <c:pt idx="6">
                  <c:v>Oct-25</c:v>
                </c:pt>
                <c:pt idx="7">
                  <c:v>Nov-25</c:v>
                </c:pt>
                <c:pt idx="8">
                  <c:v>Dec-25</c:v>
                </c:pt>
                <c:pt idx="9">
                  <c:v>Jan-26</c:v>
                </c:pt>
                <c:pt idx="10">
                  <c:v>Feb-26</c:v>
                </c:pt>
                <c:pt idx="11">
                  <c:v>Mar-26</c:v>
                </c:pt>
              </c:strCache>
            </c:strRef>
          </c:cat>
          <c:val>
            <c:numRef>
              <c:f>'Graph Support'!$C$4:$N$4</c:f>
              <c:numCache>
                <c:formatCode>_(* #,##0_);_(* \(#,##0\);_(* "-"??_);_(@_)</c:formatCode>
                <c:ptCount val="12"/>
                <c:pt idx="0">
                  <c:v>363.66666666666669</c:v>
                </c:pt>
                <c:pt idx="1">
                  <c:v>364</c:v>
                </c:pt>
                <c:pt idx="2">
                  <c:v>364</c:v>
                </c:pt>
                <c:pt idx="3">
                  <c:v>523</c:v>
                </c:pt>
                <c:pt idx="4">
                  <c:v>523</c:v>
                </c:pt>
                <c:pt idx="5">
                  <c:v>523</c:v>
                </c:pt>
                <c:pt idx="6">
                  <c:v>523</c:v>
                </c:pt>
                <c:pt idx="7">
                  <c:v>523</c:v>
                </c:pt>
                <c:pt idx="8">
                  <c:v>523</c:v>
                </c:pt>
                <c:pt idx="9">
                  <c:v>293.66666666666669</c:v>
                </c:pt>
                <c:pt idx="10">
                  <c:v>293.66666666666669</c:v>
                </c:pt>
                <c:pt idx="11">
                  <c:v>293.66666666666669</c:v>
                </c:pt>
              </c:numCache>
            </c:numRef>
          </c:val>
          <c:smooth val="0"/>
          <c:extLst>
            <c:ext xmlns:c16="http://schemas.microsoft.com/office/drawing/2014/chart" uri="{C3380CC4-5D6E-409C-BE32-E72D297353CC}">
              <c16:uniqueId val="{00000008-91D3-4F72-ABED-650932E1E2C6}"/>
            </c:ext>
          </c:extLst>
        </c:ser>
        <c:ser>
          <c:idx val="1"/>
          <c:order val="1"/>
          <c:tx>
            <c:strRef>
              <c:f>'Graph Support'!$B$6</c:f>
              <c:strCache>
                <c:ptCount val="1"/>
                <c:pt idx="0">
                  <c:v>Monthly Closings</c:v>
                </c:pt>
              </c:strCache>
            </c:strRef>
          </c:tx>
          <c:spPr>
            <a:ln w="28575" cap="rnd">
              <a:solidFill>
                <a:srgbClr val="A40C22"/>
              </a:solidFill>
              <a:round/>
            </a:ln>
            <a:effectLst/>
          </c:spPr>
          <c:marker>
            <c:symbol val="square"/>
            <c:size val="5"/>
            <c:spPr>
              <a:solidFill>
                <a:srgbClr val="A40C22"/>
              </a:solidFill>
              <a:ln w="9525">
                <a:solidFill>
                  <a:srgbClr val="A40C22"/>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rgbClr val="FF0000"/>
                </a:solidFill>
                <a:prstDash val="sysDot"/>
              </a:ln>
              <a:effectLst/>
            </c:spPr>
            <c:trendlineType val="linear"/>
            <c:dispRSqr val="0"/>
            <c:dispEq val="0"/>
          </c:trendline>
          <c:trendline>
            <c:spPr>
              <a:ln w="19050" cap="rnd">
                <a:solidFill>
                  <a:srgbClr val="A40C22"/>
                </a:solidFill>
                <a:prstDash val="sysDot"/>
              </a:ln>
              <a:effectLst/>
            </c:spPr>
            <c:trendlineType val="linear"/>
            <c:dispRSqr val="0"/>
            <c:dispEq val="0"/>
          </c:trendline>
          <c:cat>
            <c:strRef>
              <c:f>'Graph Support'!$C$2:$N$3</c:f>
              <c:strCache>
                <c:ptCount val="12"/>
                <c:pt idx="0">
                  <c:v>Apr-25</c:v>
                </c:pt>
                <c:pt idx="1">
                  <c:v>May-25</c:v>
                </c:pt>
                <c:pt idx="2">
                  <c:v>Jun-25</c:v>
                </c:pt>
                <c:pt idx="3">
                  <c:v>Jul-25</c:v>
                </c:pt>
                <c:pt idx="4">
                  <c:v>Aug-25</c:v>
                </c:pt>
                <c:pt idx="5">
                  <c:v>Sep-25</c:v>
                </c:pt>
                <c:pt idx="6">
                  <c:v>Oct-25</c:v>
                </c:pt>
                <c:pt idx="7">
                  <c:v>Nov-25</c:v>
                </c:pt>
                <c:pt idx="8">
                  <c:v>Dec-25</c:v>
                </c:pt>
                <c:pt idx="9">
                  <c:v>Jan-26</c:v>
                </c:pt>
                <c:pt idx="10">
                  <c:v>Feb-26</c:v>
                </c:pt>
                <c:pt idx="11">
                  <c:v>Mar-26</c:v>
                </c:pt>
              </c:strCache>
            </c:strRef>
          </c:cat>
          <c:val>
            <c:numRef>
              <c:f>'Graph Support'!$C$6:$N$6</c:f>
              <c:numCache>
                <c:formatCode>_(* #,##0_);_(* \(#,##0\);_(* "-"??_);_(@_)</c:formatCode>
                <c:ptCount val="12"/>
                <c:pt idx="0">
                  <c:v>441</c:v>
                </c:pt>
                <c:pt idx="1">
                  <c:v>441</c:v>
                </c:pt>
                <c:pt idx="2">
                  <c:v>441</c:v>
                </c:pt>
                <c:pt idx="3">
                  <c:v>355</c:v>
                </c:pt>
                <c:pt idx="4">
                  <c:v>355</c:v>
                </c:pt>
                <c:pt idx="5">
                  <c:v>355</c:v>
                </c:pt>
                <c:pt idx="6">
                  <c:v>355</c:v>
                </c:pt>
                <c:pt idx="7">
                  <c:v>355</c:v>
                </c:pt>
                <c:pt idx="8">
                  <c:v>355</c:v>
                </c:pt>
                <c:pt idx="9">
                  <c:v>293.66666666666669</c:v>
                </c:pt>
                <c:pt idx="10">
                  <c:v>293.66666666666669</c:v>
                </c:pt>
                <c:pt idx="11">
                  <c:v>293.66666666666669</c:v>
                </c:pt>
              </c:numCache>
            </c:numRef>
          </c:val>
          <c:smooth val="0"/>
          <c:extLst>
            <c:ext xmlns:c16="http://schemas.microsoft.com/office/drawing/2014/chart" uri="{C3380CC4-5D6E-409C-BE32-E72D297353CC}">
              <c16:uniqueId val="{0000000B-91D3-4F72-ABED-650932E1E2C6}"/>
            </c:ext>
          </c:extLst>
        </c:ser>
        <c:dLbls>
          <c:showLegendKey val="0"/>
          <c:showVal val="0"/>
          <c:showCatName val="0"/>
          <c:showSerName val="0"/>
          <c:showPercent val="0"/>
          <c:showBubbleSize val="0"/>
        </c:dLbls>
        <c:marker val="1"/>
        <c:smooth val="0"/>
        <c:axId val="318135760"/>
        <c:axId val="318136152"/>
      </c:lineChart>
      <c:catAx>
        <c:axId val="318135760"/>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18136152"/>
        <c:crosses val="autoZero"/>
        <c:auto val="0"/>
        <c:lblAlgn val="ctr"/>
        <c:lblOffset val="100"/>
        <c:noMultiLvlLbl val="0"/>
      </c:catAx>
      <c:valAx>
        <c:axId val="31813615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18135760"/>
        <c:crosses val="autoZero"/>
        <c:crossBetween val="between"/>
      </c:valAx>
      <c:spPr>
        <a:noFill/>
        <a:ln>
          <a:noFill/>
        </a:ln>
        <a:effectLst/>
      </c:spPr>
    </c:plotArea>
    <c:legend>
      <c:legendPos val="b"/>
      <c:legendEntry>
        <c:idx val="2"/>
        <c:delete val="1"/>
      </c:legendEntry>
      <c:legendEntry>
        <c:idx val="3"/>
        <c:delete val="1"/>
      </c:legendEntry>
      <c:legendEntry>
        <c:idx val="4"/>
        <c:delete val="1"/>
      </c:legendEntry>
      <c:legendEntry>
        <c:idx val="5"/>
        <c:delete val="1"/>
      </c:legendEntry>
      <c:layout>
        <c:manualLayout>
          <c:xMode val="edge"/>
          <c:yMode val="edge"/>
          <c:x val="0.11648209948696786"/>
          <c:y val="0.90633070866141729"/>
          <c:w val="0.71684048422618274"/>
          <c:h val="8.8949484648930946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0" i="0" u="none" strike="noStrike" kern="1200" spc="0" baseline="0">
                <a:solidFill>
                  <a:sysClr val="windowText" lastClr="000000"/>
                </a:solidFill>
                <a:latin typeface="Arial Narrow" panose="020B0606020202030204" pitchFamily="34" charset="0"/>
                <a:ea typeface="+mn-ea"/>
                <a:cs typeface="Times New Roman" panose="02020603050405020304" pitchFamily="18" charset="0"/>
              </a:defRPr>
            </a:pPr>
            <a:r>
              <a:rPr lang="en-US" sz="1100" b="1"/>
              <a:t>Project Net Sales and Closings</a:t>
            </a:r>
          </a:p>
        </c:rich>
      </c:tx>
      <c:overlay val="0"/>
      <c:spPr>
        <a:noFill/>
        <a:ln>
          <a:noFill/>
        </a:ln>
        <a:effectLst/>
      </c:spPr>
      <c:txPr>
        <a:bodyPr rot="0" spcFirstLastPara="1" vertOverflow="ellipsis" vert="horz" wrap="square" anchor="ctr" anchorCtr="1"/>
        <a:lstStyle/>
        <a:p>
          <a:pPr algn="ctr">
            <a:defRPr sz="1100" b="0" i="0" u="none" strike="noStrike" kern="1200" spc="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title>
    <c:autoTitleDeleted val="0"/>
    <c:plotArea>
      <c:layout>
        <c:manualLayout>
          <c:layoutTarget val="inner"/>
          <c:xMode val="edge"/>
          <c:yMode val="edge"/>
          <c:x val="8.3908687486298969E-2"/>
          <c:y val="0.13152308435925453"/>
          <c:w val="0.8873679187230783"/>
          <c:h val="0.60003112553388938"/>
        </c:manualLayout>
      </c:layout>
      <c:lineChart>
        <c:grouping val="standard"/>
        <c:varyColors val="0"/>
        <c:ser>
          <c:idx val="0"/>
          <c:order val="0"/>
          <c:tx>
            <c:strRef>
              <c:f>'Graph Support'!$B$4</c:f>
              <c:strCache>
                <c:ptCount val="1"/>
                <c:pt idx="0">
                  <c:v>Monthly Net Sales</c:v>
                </c:pt>
              </c:strCache>
            </c:strRef>
          </c:tx>
          <c:spPr>
            <a:ln w="28575" cap="rnd">
              <a:solidFill>
                <a:srgbClr val="585858"/>
              </a:solidFill>
              <a:round/>
            </a:ln>
            <a:effectLst/>
          </c:spPr>
          <c:marker>
            <c:symbol val="square"/>
            <c:size val="5"/>
            <c:spPr>
              <a:solidFill>
                <a:srgbClr val="585858"/>
              </a:solidFill>
              <a:ln w="9525">
                <a:solidFill>
                  <a:srgbClr val="585858"/>
                </a:solidFill>
              </a:ln>
              <a:effectLst/>
            </c:spPr>
          </c:marker>
          <c:dLbls>
            <c:dLbl>
              <c:idx val="0"/>
              <c:layout>
                <c:manualLayout>
                  <c:x val="-3.9267732636673124E-2"/>
                  <c:y val="4.14551669413416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63-4D70-9501-680A15D500FC}"/>
                </c:ext>
              </c:extLst>
            </c:dLbl>
            <c:dLbl>
              <c:idx val="1"/>
              <c:layout>
                <c:manualLayout>
                  <c:x val="-2.245542885734601E-2"/>
                  <c:y val="3.75033863428074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63-4D70-9501-680A15D500FC}"/>
                </c:ext>
              </c:extLst>
            </c:dLbl>
            <c:dLbl>
              <c:idx val="6"/>
              <c:layout>
                <c:manualLayout>
                  <c:x val="-4.3730469065863607E-2"/>
                  <c:y val="6.24529491953040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3-4D70-9501-680A15D500FC}"/>
                </c:ext>
              </c:extLst>
            </c:dLbl>
            <c:dLbl>
              <c:idx val="7"/>
              <c:layout>
                <c:manualLayout>
                  <c:x val="-4.7052401428351383E-2"/>
                  <c:y val="5.74066613766301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3-4D70-9501-680A15D500FC}"/>
                </c:ext>
              </c:extLst>
            </c:dLbl>
            <c:dLbl>
              <c:idx val="8"/>
              <c:layout>
                <c:manualLayout>
                  <c:x val="-3.5524712383483051E-2"/>
                  <c:y val="-4.33469656601281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3-4D70-9501-680A15D500FC}"/>
                </c:ext>
              </c:extLst>
            </c:dLbl>
            <c:dLbl>
              <c:idx val="9"/>
              <c:layout>
                <c:manualLayout>
                  <c:x val="-3.8981669985505979E-2"/>
                  <c:y val="-4.56587112657429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63-4D70-9501-680A15D500FC}"/>
                </c:ext>
              </c:extLst>
            </c:dLbl>
            <c:dLbl>
              <c:idx val="10"/>
              <c:layout>
                <c:manualLayout>
                  <c:x val="-3.4766819171553019E-2"/>
                  <c:y val="-4.43720116380801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63-4D70-9501-680A15D500FC}"/>
                </c:ext>
              </c:extLst>
            </c:dLbl>
            <c:dLbl>
              <c:idx val="11"/>
              <c:layout>
                <c:manualLayout>
                  <c:x val="-2.3528454219768881E-2"/>
                  <c:y val="-4.9600602250300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63-4D70-9501-680A15D500FC}"/>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tx1"/>
                </a:solidFill>
                <a:prstDash val="sysDot"/>
              </a:ln>
              <a:effectLst/>
            </c:spPr>
            <c:trendlineType val="linear"/>
            <c:dispRSqr val="0"/>
            <c:dispEq val="0"/>
          </c:trendline>
          <c:trendline>
            <c:spPr>
              <a:ln w="19050" cap="rnd">
                <a:solidFill>
                  <a:schemeClr val="tx1"/>
                </a:solidFill>
                <a:prstDash val="sysDot"/>
              </a:ln>
              <a:effectLst/>
            </c:spPr>
            <c:trendlineType val="linear"/>
            <c:dispRSqr val="0"/>
            <c:dispEq val="0"/>
          </c:trendline>
          <c:cat>
            <c:strRef>
              <c:f>'Graph Support'!$C$8:$N$9</c:f>
              <c:strCache>
                <c:ptCount val="12"/>
                <c:pt idx="0">
                  <c:v>Apr-25</c:v>
                </c:pt>
                <c:pt idx="1">
                  <c:v>May-25</c:v>
                </c:pt>
                <c:pt idx="2">
                  <c:v>Jun-25</c:v>
                </c:pt>
                <c:pt idx="3">
                  <c:v>Jul-25</c:v>
                </c:pt>
                <c:pt idx="4">
                  <c:v>Aug-25</c:v>
                </c:pt>
                <c:pt idx="5">
                  <c:v>Sep-25</c:v>
                </c:pt>
                <c:pt idx="6">
                  <c:v>Oct-25</c:v>
                </c:pt>
                <c:pt idx="7">
                  <c:v>Nov-25</c:v>
                </c:pt>
                <c:pt idx="8">
                  <c:v>Dec-25</c:v>
                </c:pt>
                <c:pt idx="9">
                  <c:v>Jan-26</c:v>
                </c:pt>
                <c:pt idx="10">
                  <c:v>Feb-26</c:v>
                </c:pt>
                <c:pt idx="11">
                  <c:v>Mar-26</c:v>
                </c:pt>
              </c:strCache>
            </c:strRef>
          </c:cat>
          <c:val>
            <c:numRef>
              <c:f>'Graph Support'!$C$10:$N$10</c:f>
              <c:numCache>
                <c:formatCode>_(* #,##0_);_(* \(#,##0\);_(* "-"??_);_(@_)</c:formatCode>
                <c:ptCount val="12"/>
                <c:pt idx="0">
                  <c:v>441</c:v>
                </c:pt>
                <c:pt idx="1">
                  <c:v>441</c:v>
                </c:pt>
                <c:pt idx="2">
                  <c:v>441</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A-9663-4D70-9501-680A15D500FC}"/>
            </c:ext>
          </c:extLst>
        </c:ser>
        <c:ser>
          <c:idx val="1"/>
          <c:order val="1"/>
          <c:tx>
            <c:strRef>
              <c:f>'Graph Support'!$B$6</c:f>
              <c:strCache>
                <c:ptCount val="1"/>
                <c:pt idx="0">
                  <c:v>Monthly Closings</c:v>
                </c:pt>
              </c:strCache>
            </c:strRef>
          </c:tx>
          <c:spPr>
            <a:ln w="28575" cap="rnd">
              <a:solidFill>
                <a:srgbClr val="A40C22"/>
              </a:solidFill>
              <a:round/>
            </a:ln>
            <a:effectLst/>
          </c:spPr>
          <c:marker>
            <c:symbol val="square"/>
            <c:size val="5"/>
            <c:spPr>
              <a:solidFill>
                <a:srgbClr val="A40C22"/>
              </a:solidFill>
              <a:ln w="9525">
                <a:solidFill>
                  <a:srgbClr val="A40C22"/>
                </a:solidFill>
              </a:ln>
              <a:effectLst/>
            </c:spPr>
          </c:marker>
          <c:dLbls>
            <c:dLbl>
              <c:idx val="0"/>
              <c:layout>
                <c:manualLayout>
                  <c:x val="-3.699646411716534E-2"/>
                  <c:y val="-4.67053246251195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63-4D70-9501-680A15D500FC}"/>
                </c:ext>
              </c:extLst>
            </c:dLbl>
            <c:dLbl>
              <c:idx val="8"/>
              <c:layout>
                <c:manualLayout>
                  <c:x val="-3.8883235521856317E-2"/>
                  <c:y val="4.33474012905114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663-4D70-9501-680A15D500FC}"/>
                </c:ext>
              </c:extLst>
            </c:dLbl>
            <c:dLbl>
              <c:idx val="9"/>
              <c:layout>
                <c:manualLayout>
                  <c:x val="-3.8981669985505979E-2"/>
                  <c:y val="6.11629941606136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663-4D70-9501-680A15D500FC}"/>
                </c:ext>
              </c:extLst>
            </c:dLbl>
            <c:dLbl>
              <c:idx val="10"/>
              <c:layout>
                <c:manualLayout>
                  <c:x val="-3.3629461642816307E-2"/>
                  <c:y val="4.95403772202893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663-4D70-9501-680A15D500FC}"/>
                </c:ext>
              </c:extLst>
            </c:dLbl>
            <c:dLbl>
              <c:idx val="11"/>
              <c:layout>
                <c:manualLayout>
                  <c:x val="-2.016145174541974E-2"/>
                  <c:y val="2.3761215894524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663-4D70-9501-680A15D500FC}"/>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rgbClr val="FF0000"/>
                </a:solidFill>
                <a:prstDash val="sysDot"/>
              </a:ln>
              <a:effectLst/>
            </c:spPr>
            <c:trendlineType val="linear"/>
            <c:dispRSqr val="0"/>
            <c:dispEq val="0"/>
          </c:trendline>
          <c:trendline>
            <c:spPr>
              <a:ln w="19050" cap="rnd">
                <a:solidFill>
                  <a:srgbClr val="A40C22"/>
                </a:solidFill>
                <a:prstDash val="sysDot"/>
              </a:ln>
              <a:effectLst/>
            </c:spPr>
            <c:trendlineType val="linear"/>
            <c:dispRSqr val="0"/>
            <c:dispEq val="0"/>
          </c:trendline>
          <c:cat>
            <c:strRef>
              <c:f>'Graph Support'!$C$8:$N$9</c:f>
              <c:strCache>
                <c:ptCount val="12"/>
                <c:pt idx="0">
                  <c:v>Apr-25</c:v>
                </c:pt>
                <c:pt idx="1">
                  <c:v>May-25</c:v>
                </c:pt>
                <c:pt idx="2">
                  <c:v>Jun-25</c:v>
                </c:pt>
                <c:pt idx="3">
                  <c:v>Jul-25</c:v>
                </c:pt>
                <c:pt idx="4">
                  <c:v>Aug-25</c:v>
                </c:pt>
                <c:pt idx="5">
                  <c:v>Sep-25</c:v>
                </c:pt>
                <c:pt idx="6">
                  <c:v>Oct-25</c:v>
                </c:pt>
                <c:pt idx="7">
                  <c:v>Nov-25</c:v>
                </c:pt>
                <c:pt idx="8">
                  <c:v>Dec-25</c:v>
                </c:pt>
                <c:pt idx="9">
                  <c:v>Jan-26</c:v>
                </c:pt>
                <c:pt idx="10">
                  <c:v>Feb-26</c:v>
                </c:pt>
                <c:pt idx="11">
                  <c:v>Mar-26</c:v>
                </c:pt>
              </c:strCache>
            </c:strRef>
          </c:cat>
          <c:val>
            <c:numRef>
              <c:f>'Graph Support'!$C$11:$N$11</c:f>
              <c:numCache>
                <c:formatCode>_(* #,##0_);_(* \(#,##0\);_(* "-"??_);_(@_)</c:formatCode>
                <c:ptCount val="12"/>
                <c:pt idx="0">
                  <c:v>441</c:v>
                </c:pt>
                <c:pt idx="1">
                  <c:v>441</c:v>
                </c:pt>
                <c:pt idx="2">
                  <c:v>441</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2-9663-4D70-9501-680A15D500FC}"/>
            </c:ext>
          </c:extLst>
        </c:ser>
        <c:dLbls>
          <c:showLegendKey val="0"/>
          <c:showVal val="0"/>
          <c:showCatName val="0"/>
          <c:showSerName val="0"/>
          <c:showPercent val="0"/>
          <c:showBubbleSize val="0"/>
        </c:dLbls>
        <c:marker val="1"/>
        <c:smooth val="0"/>
        <c:axId val="663079848"/>
        <c:axId val="663080240"/>
      </c:lineChart>
      <c:catAx>
        <c:axId val="663079848"/>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663080240"/>
        <c:crosses val="autoZero"/>
        <c:auto val="0"/>
        <c:lblAlgn val="ctr"/>
        <c:lblOffset val="100"/>
        <c:noMultiLvlLbl val="0"/>
      </c:catAx>
      <c:valAx>
        <c:axId val="66308024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663079848"/>
        <c:crosses val="autoZero"/>
        <c:crossBetween val="between"/>
      </c:valAx>
      <c:spPr>
        <a:noFill/>
        <a:ln>
          <a:noFill/>
        </a:ln>
        <a:effectLst/>
      </c:spPr>
    </c:plotArea>
    <c:legend>
      <c:legendPos val="b"/>
      <c:legendEntry>
        <c:idx val="2"/>
        <c:delete val="1"/>
      </c:legendEntry>
      <c:legendEntry>
        <c:idx val="3"/>
        <c:delete val="1"/>
      </c:legendEntry>
      <c:legendEntry>
        <c:idx val="4"/>
        <c:delete val="1"/>
      </c:legendEntry>
      <c:legendEntry>
        <c:idx val="5"/>
        <c:delete val="1"/>
      </c:legendEntry>
      <c:layout>
        <c:manualLayout>
          <c:xMode val="edge"/>
          <c:yMode val="edge"/>
          <c:x val="0.11931338582677166"/>
          <c:y val="0.90555972718953903"/>
          <c:w val="0.71502990136803701"/>
          <c:h val="8.894952084477812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900">
          <a:solidFill>
            <a:sysClr val="windowText" lastClr="000000"/>
          </a:solidFill>
          <a:latin typeface="Arial Narrow" panose="020B0606020202030204" pitchFamily="34"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ysClr val="windowText" lastClr="000000"/>
                </a:solidFill>
                <a:latin typeface="Arial Narrow" panose="020B0606020202030204" pitchFamily="34" charset="0"/>
                <a:ea typeface="+mn-ea"/>
                <a:cs typeface="Times New Roman" panose="02020603050405020304" pitchFamily="18" charset="0"/>
              </a:defRPr>
            </a:pPr>
            <a:r>
              <a:rPr lang="en-US" b="1"/>
              <a:t>Borrower Banking</a:t>
            </a:r>
            <a:r>
              <a:rPr lang="en-US" b="1" baseline="0"/>
              <a:t> Summary: UPB, Utilization &amp; Deposits</a:t>
            </a:r>
            <a:endParaRPr lang="en-US" b="1"/>
          </a:p>
        </c:rich>
      </c:tx>
      <c:overlay val="0"/>
      <c:spPr>
        <a:noFill/>
        <a:ln>
          <a:noFill/>
        </a:ln>
        <a:effectLst/>
      </c:spPr>
      <c:txPr>
        <a:bodyPr rot="0" spcFirstLastPara="1" vertOverflow="ellipsis" vert="horz" wrap="square" anchor="ctr" anchorCtr="1"/>
        <a:lstStyle/>
        <a:p>
          <a:pPr>
            <a:defRPr sz="1080" b="1" i="0" u="none" strike="noStrike" kern="1200" spc="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title>
    <c:autoTitleDeleted val="0"/>
    <c:plotArea>
      <c:layout>
        <c:manualLayout>
          <c:layoutTarget val="inner"/>
          <c:xMode val="edge"/>
          <c:yMode val="edge"/>
          <c:x val="0.11328391568241469"/>
          <c:y val="0.13057310364940014"/>
          <c:w val="0.84905286253280843"/>
          <c:h val="0.64272907954210345"/>
        </c:manualLayout>
      </c:layout>
      <c:barChart>
        <c:barDir val="col"/>
        <c:grouping val="stacked"/>
        <c:varyColors val="0"/>
        <c:ser>
          <c:idx val="1"/>
          <c:order val="0"/>
          <c:tx>
            <c:strRef>
              <c:f>'Graph Support'!$B$50</c:f>
              <c:strCache>
                <c:ptCount val="1"/>
                <c:pt idx="0">
                  <c:v>Outstanding</c:v>
                </c:pt>
              </c:strCache>
            </c:strRef>
          </c:tx>
          <c:spPr>
            <a:solidFill>
              <a:srgbClr val="A40C22"/>
            </a:solidFill>
            <a:ln>
              <a:noFill/>
            </a:ln>
            <a:effectLst/>
          </c:spPr>
          <c:invertIfNegative val="0"/>
          <c:cat>
            <c:numRef>
              <c:f>'Graph Support'!$C$45:$N$45</c:f>
              <c:numCache>
                <c:formatCode>[$-409]mmm\-yy;@</c:formatCode>
                <c:ptCount val="12"/>
                <c:pt idx="0">
                  <c:v>45900</c:v>
                </c:pt>
                <c:pt idx="1">
                  <c:v>45930</c:v>
                </c:pt>
                <c:pt idx="2">
                  <c:v>45961</c:v>
                </c:pt>
                <c:pt idx="3">
                  <c:v>45991</c:v>
                </c:pt>
                <c:pt idx="4">
                  <c:v>46022</c:v>
                </c:pt>
                <c:pt idx="5">
                  <c:v>46053</c:v>
                </c:pt>
                <c:pt idx="6">
                  <c:v>46081</c:v>
                </c:pt>
                <c:pt idx="7">
                  <c:v>46112</c:v>
                </c:pt>
                <c:pt idx="8">
                  <c:v>46142</c:v>
                </c:pt>
                <c:pt idx="9">
                  <c:v>46173</c:v>
                </c:pt>
                <c:pt idx="10">
                  <c:v>46203</c:v>
                </c:pt>
                <c:pt idx="11">
                  <c:v>46234</c:v>
                </c:pt>
              </c:numCache>
            </c:numRef>
          </c:cat>
          <c:val>
            <c:numRef>
              <c:f>'Graph Support'!$C$50:$N$50</c:f>
              <c:numCache>
                <c:formatCode>"$"#,##0</c:formatCode>
                <c:ptCount val="12"/>
                <c:pt idx="0">
                  <c:v>44746.468000000001</c:v>
                </c:pt>
                <c:pt idx="1">
                  <c:v>44436.298999999999</c:v>
                </c:pt>
                <c:pt idx="2">
                  <c:v>42632.991000000002</c:v>
                </c:pt>
                <c:pt idx="3">
                  <c:v>40189.535520000005</c:v>
                </c:pt>
                <c:pt idx="4">
                  <c:v>34672.946000000004</c:v>
                </c:pt>
                <c:pt idx="5">
                  <c:v>38907.904000000002</c:v>
                </c:pt>
                <c:pt idx="6">
                  <c:v>39945.620999999999</c:v>
                </c:pt>
                <c:pt idx="7">
                  <c:v>40821.269999999997</c:v>
                </c:pt>
                <c:pt idx="8">
                  <c:v>39025.892119999997</c:v>
                </c:pt>
                <c:pt idx="9">
                  <c:v>33523.004000000001</c:v>
                </c:pt>
                <c:pt idx="10">
                  <c:v>0</c:v>
                </c:pt>
                <c:pt idx="11">
                  <c:v>0</c:v>
                </c:pt>
              </c:numCache>
            </c:numRef>
          </c:val>
          <c:extLst>
            <c:ext xmlns:c16="http://schemas.microsoft.com/office/drawing/2014/chart" uri="{C3380CC4-5D6E-409C-BE32-E72D297353CC}">
              <c16:uniqueId val="{00000000-2327-4596-876C-74B652827995}"/>
            </c:ext>
          </c:extLst>
        </c:ser>
        <c:ser>
          <c:idx val="0"/>
          <c:order val="1"/>
          <c:tx>
            <c:strRef>
              <c:f>'Graph Support'!$B$48</c:f>
              <c:strCache>
                <c:ptCount val="1"/>
                <c:pt idx="0">
                  <c:v>Net Commitment</c:v>
                </c:pt>
              </c:strCache>
            </c:strRef>
          </c:tx>
          <c:spPr>
            <a:solidFill>
              <a:srgbClr val="F89EAB"/>
            </a:solidFill>
            <a:ln>
              <a:noFill/>
            </a:ln>
            <a:effectLst/>
          </c:spPr>
          <c:invertIfNegative val="0"/>
          <c:cat>
            <c:numRef>
              <c:f>'Graph Support'!$C$31:$N$31</c:f>
              <c:numCache>
                <c:formatCode>[$-409]mmm\-yy;@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Support'!$C$49:$N$49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327-4596-876C-74B652827995}"/>
            </c:ext>
          </c:extLst>
        </c:ser>
        <c:ser>
          <c:idx val="4"/>
          <c:order val="2"/>
          <c:tx>
            <c:strRef>
              <c:f>'Graph Support'!$B$46</c:f>
              <c:strCache>
                <c:ptCount val="1"/>
                <c:pt idx="0">
                  <c:v>Gross Commitment</c:v>
                </c:pt>
              </c:strCache>
            </c:strRef>
          </c:tx>
          <c:spPr>
            <a:solidFill>
              <a:srgbClr val="E6E6E6"/>
            </a:solidFill>
            <a:ln>
              <a:noFill/>
            </a:ln>
            <a:effectLst/>
          </c:spPr>
          <c:invertIfNegative val="0"/>
          <c:cat>
            <c:numRef>
              <c:f>'Graph Support'!$C$45:$N$45</c:f>
              <c:numCache>
                <c:formatCode>[$-409]mmm\-yy;@</c:formatCode>
                <c:ptCount val="12"/>
                <c:pt idx="0">
                  <c:v>45900</c:v>
                </c:pt>
                <c:pt idx="1">
                  <c:v>45930</c:v>
                </c:pt>
                <c:pt idx="2">
                  <c:v>45961</c:v>
                </c:pt>
                <c:pt idx="3">
                  <c:v>45991</c:v>
                </c:pt>
                <c:pt idx="4">
                  <c:v>46022</c:v>
                </c:pt>
                <c:pt idx="5">
                  <c:v>46053</c:v>
                </c:pt>
                <c:pt idx="6">
                  <c:v>46081</c:v>
                </c:pt>
                <c:pt idx="7">
                  <c:v>46112</c:v>
                </c:pt>
                <c:pt idx="8">
                  <c:v>46142</c:v>
                </c:pt>
                <c:pt idx="9">
                  <c:v>46173</c:v>
                </c:pt>
                <c:pt idx="10">
                  <c:v>46203</c:v>
                </c:pt>
                <c:pt idx="11">
                  <c:v>46234</c:v>
                </c:pt>
              </c:numCache>
            </c:numRef>
          </c:cat>
          <c:val>
            <c:numRef>
              <c:f>'Graph Support'!$C$47:$N$47</c:f>
              <c:numCache>
                <c:formatCode>"$"#,##0</c:formatCode>
                <c:ptCount val="12"/>
                <c:pt idx="0">
                  <c:v>30253.531999999999</c:v>
                </c:pt>
                <c:pt idx="1">
                  <c:v>30563.701000000001</c:v>
                </c:pt>
                <c:pt idx="2">
                  <c:v>32367.008999999998</c:v>
                </c:pt>
                <c:pt idx="3">
                  <c:v>34810.464479999995</c:v>
                </c:pt>
                <c:pt idx="4">
                  <c:v>40327.053999999996</c:v>
                </c:pt>
                <c:pt idx="5">
                  <c:v>36092.095999999998</c:v>
                </c:pt>
                <c:pt idx="6">
                  <c:v>35054.379000000001</c:v>
                </c:pt>
                <c:pt idx="7">
                  <c:v>34178.730000000003</c:v>
                </c:pt>
                <c:pt idx="8">
                  <c:v>35974.107880000003</c:v>
                </c:pt>
                <c:pt idx="9">
                  <c:v>41476.995999999999</c:v>
                </c:pt>
                <c:pt idx="10">
                  <c:v>0</c:v>
                </c:pt>
                <c:pt idx="11">
                  <c:v>0</c:v>
                </c:pt>
              </c:numCache>
            </c:numRef>
          </c:val>
          <c:extLst>
            <c:ext xmlns:c16="http://schemas.microsoft.com/office/drawing/2014/chart" uri="{C3380CC4-5D6E-409C-BE32-E72D297353CC}">
              <c16:uniqueId val="{00000002-2327-4596-876C-74B652827995}"/>
            </c:ext>
          </c:extLst>
        </c:ser>
        <c:dLbls>
          <c:showLegendKey val="0"/>
          <c:showVal val="0"/>
          <c:showCatName val="0"/>
          <c:showSerName val="0"/>
          <c:showPercent val="0"/>
          <c:showBubbleSize val="0"/>
        </c:dLbls>
        <c:gapWidth val="30"/>
        <c:overlap val="100"/>
        <c:axId val="318135368"/>
        <c:axId val="663081024"/>
      </c:barChart>
      <c:lineChart>
        <c:grouping val="standard"/>
        <c:varyColors val="0"/>
        <c:ser>
          <c:idx val="2"/>
          <c:order val="3"/>
          <c:tx>
            <c:strRef>
              <c:f>'Graph Support'!$B$51</c:f>
              <c:strCache>
                <c:ptCount val="1"/>
                <c:pt idx="0">
                  <c:v>% Utilization</c:v>
                </c:pt>
              </c:strCache>
            </c:strRef>
          </c:tx>
          <c:spPr>
            <a:ln w="28575" cap="rnd">
              <a:solidFill>
                <a:srgbClr val="585858"/>
              </a:solidFill>
              <a:round/>
            </a:ln>
            <a:effectLst/>
          </c:spPr>
          <c:marker>
            <c:symbol val="square"/>
            <c:size val="5"/>
            <c:spPr>
              <a:solidFill>
                <a:srgbClr val="585858"/>
              </a:solidFill>
              <a:ln w="9525">
                <a:solidFill>
                  <a:srgbClr val="585858"/>
                </a:solidFill>
              </a:ln>
              <a:effectLst/>
            </c:spPr>
          </c:marker>
          <c:dLbls>
            <c:dLbl>
              <c:idx val="1"/>
              <c:layout>
                <c:manualLayout>
                  <c:x val="-3.8838972764231983E-2"/>
                  <c:y val="-4.96746045599319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27-4596-876C-74B652827995}"/>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Support'!$C$45:$N$45</c:f>
              <c:numCache>
                <c:formatCode>[$-409]mmm\-yy;@</c:formatCode>
                <c:ptCount val="12"/>
                <c:pt idx="0">
                  <c:v>45900</c:v>
                </c:pt>
                <c:pt idx="1">
                  <c:v>45930</c:v>
                </c:pt>
                <c:pt idx="2">
                  <c:v>45961</c:v>
                </c:pt>
                <c:pt idx="3">
                  <c:v>45991</c:v>
                </c:pt>
                <c:pt idx="4">
                  <c:v>46022</c:v>
                </c:pt>
                <c:pt idx="5">
                  <c:v>46053</c:v>
                </c:pt>
                <c:pt idx="6">
                  <c:v>46081</c:v>
                </c:pt>
                <c:pt idx="7">
                  <c:v>46112</c:v>
                </c:pt>
                <c:pt idx="8">
                  <c:v>46142</c:v>
                </c:pt>
                <c:pt idx="9">
                  <c:v>46173</c:v>
                </c:pt>
                <c:pt idx="10">
                  <c:v>46203</c:v>
                </c:pt>
                <c:pt idx="11">
                  <c:v>46234</c:v>
                </c:pt>
              </c:numCache>
            </c:numRef>
          </c:cat>
          <c:val>
            <c:numRef>
              <c:f>'Graph Support'!$C$51:$N$51</c:f>
              <c:numCache>
                <c:formatCode>0%</c:formatCode>
                <c:ptCount val="12"/>
                <c:pt idx="0">
                  <c:v>0.59661957333333338</c:v>
                </c:pt>
                <c:pt idx="1">
                  <c:v>0.59248398666666668</c:v>
                </c:pt>
                <c:pt idx="2">
                  <c:v>0.56843988000000001</c:v>
                </c:pt>
                <c:pt idx="3">
                  <c:v>0.5358604736</c:v>
                </c:pt>
                <c:pt idx="4">
                  <c:v>0.46230594666666669</c:v>
                </c:pt>
                <c:pt idx="5">
                  <c:v>0.51877205333333332</c:v>
                </c:pt>
                <c:pt idx="6">
                  <c:v>0.53260828000000005</c:v>
                </c:pt>
                <c:pt idx="7">
                  <c:v>0.54428359999999998</c:v>
                </c:pt>
                <c:pt idx="8">
                  <c:v>0.52034522826666663</c:v>
                </c:pt>
                <c:pt idx="9">
                  <c:v>0.44697338666666669</c:v>
                </c:pt>
                <c:pt idx="10">
                  <c:v>0</c:v>
                </c:pt>
                <c:pt idx="11">
                  <c:v>0</c:v>
                </c:pt>
              </c:numCache>
            </c:numRef>
          </c:val>
          <c:smooth val="0"/>
          <c:extLst>
            <c:ext xmlns:c16="http://schemas.microsoft.com/office/drawing/2014/chart" uri="{C3380CC4-5D6E-409C-BE32-E72D297353CC}">
              <c16:uniqueId val="{00000004-2327-4596-876C-74B652827995}"/>
            </c:ext>
          </c:extLst>
        </c:ser>
        <c:ser>
          <c:idx val="3"/>
          <c:order val="4"/>
          <c:tx>
            <c:strRef>
              <c:f>'Graph Support'!$B$53</c:f>
              <c:strCache>
                <c:ptCount val="1"/>
                <c:pt idx="0">
                  <c:v>% Deposits (Relationship)</c:v>
                </c:pt>
              </c:strCache>
            </c:strRef>
          </c:tx>
          <c:spPr>
            <a:ln w="28575" cap="rnd">
              <a:solidFill>
                <a:schemeClr val="tx1"/>
              </a:solidFill>
              <a:round/>
            </a:ln>
            <a:effectLst/>
          </c:spPr>
          <c:marker>
            <c:symbol val="square"/>
            <c:size val="5"/>
            <c:spPr>
              <a:solidFill>
                <a:schemeClr val="tx1"/>
              </a:solidFill>
              <a:ln w="9525">
                <a:solidFill>
                  <a:schemeClr val="tx1"/>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Narrow" panose="020B0606020202030204" pitchFamily="34"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Support'!$C$45:$N$45</c:f>
              <c:numCache>
                <c:formatCode>[$-409]mmm\-yy;@</c:formatCode>
                <c:ptCount val="12"/>
                <c:pt idx="0">
                  <c:v>45900</c:v>
                </c:pt>
                <c:pt idx="1">
                  <c:v>45930</c:v>
                </c:pt>
                <c:pt idx="2">
                  <c:v>45961</c:v>
                </c:pt>
                <c:pt idx="3">
                  <c:v>45991</c:v>
                </c:pt>
                <c:pt idx="4">
                  <c:v>46022</c:v>
                </c:pt>
                <c:pt idx="5">
                  <c:v>46053</c:v>
                </c:pt>
                <c:pt idx="6">
                  <c:v>46081</c:v>
                </c:pt>
                <c:pt idx="7">
                  <c:v>46112</c:v>
                </c:pt>
                <c:pt idx="8">
                  <c:v>46142</c:v>
                </c:pt>
                <c:pt idx="9">
                  <c:v>46173</c:v>
                </c:pt>
                <c:pt idx="10">
                  <c:v>46203</c:v>
                </c:pt>
                <c:pt idx="11">
                  <c:v>46234</c:v>
                </c:pt>
              </c:numCache>
            </c:numRef>
          </c:cat>
          <c:val>
            <c:numRef>
              <c:f>'Graph Support'!$C$53:$N$53</c:f>
              <c:numCache>
                <c:formatCode>0%</c:formatCode>
                <c:ptCount val="12"/>
                <c:pt idx="0">
                  <c:v>9.1047387248530995E-2</c:v>
                </c:pt>
                <c:pt idx="1">
                  <c:v>9.1699761044456027E-2</c:v>
                </c:pt>
                <c:pt idx="2">
                  <c:v>9.6335793095070441E-2</c:v>
                </c:pt>
                <c:pt idx="3">
                  <c:v>0.10243540241011651</c:v>
                </c:pt>
                <c:pt idx="4">
                  <c:v>0.11517896849142113</c:v>
                </c:pt>
                <c:pt idx="5">
                  <c:v>0.10264222919846826</c:v>
                </c:pt>
                <c:pt idx="6">
                  <c:v>0.103743696211407</c:v>
                </c:pt>
                <c:pt idx="7">
                  <c:v>0.10170837531512371</c:v>
                </c:pt>
                <c:pt idx="8">
                  <c:v>0.10638744752415925</c:v>
                </c:pt>
                <c:pt idx="9">
                  <c:v>0.12385122317797057</c:v>
                </c:pt>
                <c:pt idx="10">
                  <c:v>0</c:v>
                </c:pt>
                <c:pt idx="11">
                  <c:v>0</c:v>
                </c:pt>
              </c:numCache>
            </c:numRef>
          </c:val>
          <c:smooth val="0"/>
          <c:extLst>
            <c:ext xmlns:c16="http://schemas.microsoft.com/office/drawing/2014/chart" uri="{C3380CC4-5D6E-409C-BE32-E72D297353CC}">
              <c16:uniqueId val="{00000005-2327-4596-876C-74B652827995}"/>
            </c:ext>
          </c:extLst>
        </c:ser>
        <c:dLbls>
          <c:showLegendKey val="0"/>
          <c:showVal val="0"/>
          <c:showCatName val="0"/>
          <c:showSerName val="0"/>
          <c:showPercent val="0"/>
          <c:showBubbleSize val="0"/>
        </c:dLbls>
        <c:marker val="1"/>
        <c:smooth val="0"/>
        <c:axId val="553972288"/>
        <c:axId val="553971896"/>
      </c:lineChart>
      <c:dateAx>
        <c:axId val="318135368"/>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663081024"/>
        <c:crosses val="autoZero"/>
        <c:auto val="1"/>
        <c:lblOffset val="100"/>
        <c:baseTimeUnit val="months"/>
      </c:dateAx>
      <c:valAx>
        <c:axId val="66308102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18135368"/>
        <c:crosses val="autoZero"/>
        <c:crossBetween val="between"/>
      </c:valAx>
      <c:valAx>
        <c:axId val="553971896"/>
        <c:scaling>
          <c:orientation val="minMax"/>
          <c:max val="1.1000000000000001"/>
          <c:min val="0"/>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553972288"/>
        <c:crosses val="max"/>
        <c:crossBetween val="between"/>
      </c:valAx>
      <c:catAx>
        <c:axId val="553972288"/>
        <c:scaling>
          <c:orientation val="minMax"/>
        </c:scaling>
        <c:delete val="1"/>
        <c:axPos val="b"/>
        <c:numFmt formatCode="[$-409]mmm\-yy;@" sourceLinked="1"/>
        <c:majorTickMark val="out"/>
        <c:minorTickMark val="none"/>
        <c:tickLblPos val="nextTo"/>
        <c:crossAx val="553971896"/>
        <c:crosses val="autoZero"/>
        <c:auto val="0"/>
        <c:lblAlgn val="ctr"/>
        <c:lblOffset val="100"/>
        <c:noMultiLvlLbl val="0"/>
      </c:catAx>
      <c:spPr>
        <a:noFill/>
        <a:ln>
          <a:noFill/>
        </a:ln>
        <a:effectLst/>
      </c:spPr>
    </c:plotArea>
    <c:legend>
      <c:legendPos val="b"/>
      <c:layout>
        <c:manualLayout>
          <c:xMode val="edge"/>
          <c:yMode val="edge"/>
          <c:x val="0.11814673556430447"/>
          <c:y val="0.85884896571836566"/>
          <c:w val="0.87584830216535436"/>
          <c:h val="0.1332301019022807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900">
          <a:solidFill>
            <a:sysClr val="windowText" lastClr="000000"/>
          </a:solidFill>
          <a:latin typeface="Arial Narrow" panose="020B0606020202030204" pitchFamily="34"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Lot Inventory &amp; Months of Supply</a:t>
            </a:r>
          </a:p>
        </c:rich>
      </c:tx>
      <c:layout>
        <c:manualLayout>
          <c:xMode val="edge"/>
          <c:yMode val="edge"/>
          <c:x val="0.20944453230077756"/>
          <c:y val="4.4719133277192624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954812551416147"/>
          <c:y val="0.12234964747053677"/>
          <c:w val="0.85262731047507956"/>
          <c:h val="0.67395698546528493"/>
        </c:manualLayout>
      </c:layout>
      <c:barChart>
        <c:barDir val="col"/>
        <c:grouping val="stacked"/>
        <c:varyColors val="0"/>
        <c:ser>
          <c:idx val="0"/>
          <c:order val="0"/>
          <c:tx>
            <c:strRef>
              <c:f>'Graph Support'!$B$32</c:f>
              <c:strCache>
                <c:ptCount val="1"/>
                <c:pt idx="0">
                  <c:v>Lots Owned &amp; Controlled</c:v>
                </c:pt>
              </c:strCache>
            </c:strRef>
          </c:tx>
          <c:spPr>
            <a:solidFill>
              <a:srgbClr val="F89EAB"/>
            </a:solidFill>
            <a:ln>
              <a:noFill/>
            </a:ln>
            <a:effectLst/>
          </c:spPr>
          <c:invertIfNegative val="0"/>
          <c:dPt>
            <c:idx val="1"/>
            <c:invertIfNegative val="0"/>
            <c:bubble3D val="0"/>
            <c:spPr>
              <a:solidFill>
                <a:srgbClr val="F89EAB"/>
              </a:solidFill>
              <a:ln>
                <a:noFill/>
              </a:ln>
              <a:effectLst/>
            </c:spPr>
            <c:extLst>
              <c:ext xmlns:c16="http://schemas.microsoft.com/office/drawing/2014/chart" uri="{C3380CC4-5D6E-409C-BE32-E72D297353CC}">
                <c16:uniqueId val="{00000001-73A8-4473-989E-4B26913CEC73}"/>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Support'!$P$31:$T$31</c:f>
              <c:numCache>
                <c:formatCode>[$-409]mmm\-yy;@</c:formatCode>
                <c:ptCount val="5"/>
                <c:pt idx="0">
                  <c:v>45747</c:v>
                </c:pt>
                <c:pt idx="1">
                  <c:v>45838</c:v>
                </c:pt>
                <c:pt idx="2">
                  <c:v>45930</c:v>
                </c:pt>
                <c:pt idx="3">
                  <c:v>46022</c:v>
                </c:pt>
                <c:pt idx="4">
                  <c:v>46112</c:v>
                </c:pt>
              </c:numCache>
            </c:numRef>
          </c:cat>
          <c:val>
            <c:numRef>
              <c:f>'Graph Support'!$P$32:$T$32</c:f>
              <c:numCache>
                <c:formatCode>_(* #,##0_);_(* \(#,##0\);_(* "-"??_);_(@_)</c:formatCode>
                <c:ptCount val="5"/>
                <c:pt idx="0">
                  <c:v>67792</c:v>
                </c:pt>
                <c:pt idx="1">
                  <c:v>64756</c:v>
                </c:pt>
                <c:pt idx="2">
                  <c:v>64756</c:v>
                </c:pt>
                <c:pt idx="3">
                  <c:v>60842</c:v>
                </c:pt>
                <c:pt idx="4">
                  <c:v>59028</c:v>
                </c:pt>
              </c:numCache>
            </c:numRef>
          </c:val>
          <c:extLst>
            <c:ext xmlns:c16="http://schemas.microsoft.com/office/drawing/2014/chart" uri="{C3380CC4-5D6E-409C-BE32-E72D297353CC}">
              <c16:uniqueId val="{00000002-73A8-4473-989E-4B26913CEC73}"/>
            </c:ext>
          </c:extLst>
        </c:ser>
        <c:dLbls>
          <c:showLegendKey val="0"/>
          <c:showVal val="0"/>
          <c:showCatName val="0"/>
          <c:showSerName val="0"/>
          <c:showPercent val="0"/>
          <c:showBubbleSize val="0"/>
        </c:dLbls>
        <c:gapWidth val="45"/>
        <c:overlap val="100"/>
        <c:axId val="553973072"/>
        <c:axId val="553973464"/>
      </c:barChart>
      <c:lineChart>
        <c:grouping val="standard"/>
        <c:varyColors val="0"/>
        <c:ser>
          <c:idx val="1"/>
          <c:order val="1"/>
          <c:tx>
            <c:strRef>
              <c:f>'Graph Support'!$B$34</c:f>
              <c:strCache>
                <c:ptCount val="1"/>
                <c:pt idx="0">
                  <c:v>Lot MOS</c:v>
                </c:pt>
              </c:strCache>
            </c:strRef>
          </c:tx>
          <c:spPr>
            <a:ln w="28575" cap="rnd">
              <a:solidFill>
                <a:srgbClr val="A40C22"/>
              </a:solidFill>
              <a:round/>
            </a:ln>
            <a:effectLst/>
          </c:spPr>
          <c:marker>
            <c:symbol val="square"/>
            <c:size val="5"/>
            <c:spPr>
              <a:solidFill>
                <a:srgbClr val="A40C22"/>
              </a:solidFill>
              <a:ln w="9525">
                <a:solidFill>
                  <a:srgbClr val="A40C2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5"/>
              <c:pt idx="0">
                <c:v>42916</c:v>
              </c:pt>
              <c:pt idx="1">
                <c:v>43008</c:v>
              </c:pt>
              <c:pt idx="2">
                <c:v>43100</c:v>
              </c:pt>
              <c:pt idx="3">
                <c:v>43190</c:v>
              </c:pt>
              <c:pt idx="4">
                <c:v>43281</c:v>
              </c:pt>
            </c:numLit>
          </c:cat>
          <c:val>
            <c:numRef>
              <c:f>'Graph Support'!$P$34:$T$34</c:f>
              <c:numCache>
                <c:formatCode>_(* #,##0_);_(* \(#,##0\);_(* "-"??_);_(@_)</c:formatCode>
                <c:ptCount val="5"/>
                <c:pt idx="0">
                  <c:v>134.58953289582527</c:v>
                </c:pt>
                <c:pt idx="1">
                  <c:v>136.03407831008926</c:v>
                </c:pt>
                <c:pt idx="2">
                  <c:v>154.78494123896155</c:v>
                </c:pt>
                <c:pt idx="3">
                  <c:v>164.10519217801755</c:v>
                </c:pt>
                <c:pt idx="4">
                  <c:v>163.43700969081678</c:v>
                </c:pt>
              </c:numCache>
            </c:numRef>
          </c:val>
          <c:smooth val="0"/>
          <c:extLst>
            <c:ext xmlns:c16="http://schemas.microsoft.com/office/drawing/2014/chart" uri="{C3380CC4-5D6E-409C-BE32-E72D297353CC}">
              <c16:uniqueId val="{00000003-73A8-4473-989E-4B26913CEC73}"/>
            </c:ext>
          </c:extLst>
        </c:ser>
        <c:dLbls>
          <c:showLegendKey val="0"/>
          <c:showVal val="0"/>
          <c:showCatName val="0"/>
          <c:showSerName val="0"/>
          <c:showPercent val="0"/>
          <c:showBubbleSize val="0"/>
        </c:dLbls>
        <c:marker val="1"/>
        <c:smooth val="0"/>
        <c:axId val="43719224"/>
        <c:axId val="43718832"/>
      </c:lineChart>
      <c:catAx>
        <c:axId val="553973072"/>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53973464"/>
        <c:crosses val="autoZero"/>
        <c:auto val="0"/>
        <c:lblAlgn val="ctr"/>
        <c:lblOffset val="100"/>
        <c:tickLblSkip val="1"/>
        <c:noMultiLvlLbl val="0"/>
      </c:catAx>
      <c:valAx>
        <c:axId val="55397346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53973072"/>
        <c:crosses val="autoZero"/>
        <c:crossBetween val="between"/>
      </c:valAx>
      <c:valAx>
        <c:axId val="43718832"/>
        <c:scaling>
          <c:orientation val="minMax"/>
          <c:max val="150"/>
          <c:min val="0"/>
        </c:scaling>
        <c:delete val="0"/>
        <c:axPos val="r"/>
        <c:numFmt formatCode="_(* #,##0_);_(* \(#,##0\);_(* &quot;-&quot;??_);_(@_)" sourceLinked="1"/>
        <c:majorTickMark val="out"/>
        <c:minorTickMark val="none"/>
        <c:tickLblPos val="none"/>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43719224"/>
        <c:crosses val="max"/>
        <c:crossBetween val="between"/>
      </c:valAx>
      <c:catAx>
        <c:axId val="43719224"/>
        <c:scaling>
          <c:orientation val="minMax"/>
        </c:scaling>
        <c:delete val="1"/>
        <c:axPos val="b"/>
        <c:numFmt formatCode="General" sourceLinked="1"/>
        <c:majorTickMark val="out"/>
        <c:minorTickMark val="none"/>
        <c:tickLblPos val="nextTo"/>
        <c:crossAx val="43718832"/>
        <c:crosses val="autoZero"/>
        <c:auto val="0"/>
        <c:lblAlgn val="ctr"/>
        <c:lblOffset val="100"/>
        <c:noMultiLvlLbl val="0"/>
      </c:catAx>
      <c:spPr>
        <a:noFill/>
        <a:ln>
          <a:noFill/>
        </a:ln>
        <a:effectLst/>
      </c:spPr>
    </c:plotArea>
    <c:legend>
      <c:legendPos val="b"/>
      <c:layout>
        <c:manualLayout>
          <c:xMode val="edge"/>
          <c:yMode val="edge"/>
          <c:x val="0.15523628641897147"/>
          <c:y val="0.89431773969430295"/>
          <c:w val="0.69126408926156424"/>
          <c:h val="9.0350338045482481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Net Sales and Closings (Quarterly)</a:t>
            </a:r>
          </a:p>
        </c:rich>
      </c:tx>
      <c:overlay val="0"/>
      <c:spPr>
        <a:noFill/>
        <a:ln>
          <a:noFill/>
        </a:ln>
        <a:effectLst/>
      </c:spPr>
      <c:txPr>
        <a:bodyPr rot="0" spcFirstLastPara="1" vertOverflow="ellipsis" vert="horz" wrap="square" anchor="ctr" anchorCtr="1"/>
        <a:lstStyle/>
        <a:p>
          <a:pPr algn="ct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7.5849868766404205E-2"/>
          <c:y val="0.13446425814420257"/>
          <c:w val="0.87972756715827471"/>
          <c:h val="0.65241502488537484"/>
        </c:manualLayout>
      </c:layout>
      <c:lineChart>
        <c:grouping val="standard"/>
        <c:varyColors val="0"/>
        <c:ser>
          <c:idx val="0"/>
          <c:order val="0"/>
          <c:tx>
            <c:strRef>
              <c:f>'Graph Support'!$B$4</c:f>
              <c:strCache>
                <c:ptCount val="1"/>
                <c:pt idx="0">
                  <c:v>Monthly Net Sales</c:v>
                </c:pt>
              </c:strCache>
            </c:strRef>
          </c:tx>
          <c:spPr>
            <a:ln w="28575" cap="rnd">
              <a:solidFill>
                <a:schemeClr val="accent1"/>
              </a:solidFill>
              <a:round/>
            </a:ln>
            <a:effectLst/>
          </c:spPr>
          <c:marker>
            <c:symbol val="square"/>
            <c:size val="5"/>
            <c:spPr>
              <a:solidFill>
                <a:srgbClr val="585858"/>
              </a:solidFill>
              <a:ln w="9525">
                <a:solidFill>
                  <a:srgbClr val="585858"/>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tx1"/>
                </a:solidFill>
                <a:prstDash val="sysDot"/>
              </a:ln>
              <a:effectLst/>
            </c:spPr>
            <c:trendlineType val="linear"/>
            <c:dispRSqr val="0"/>
            <c:dispEq val="0"/>
          </c:trendline>
          <c:trendline>
            <c:spPr>
              <a:ln w="19050" cap="rnd">
                <a:solidFill>
                  <a:srgbClr val="000000"/>
                </a:solidFill>
                <a:prstDash val="sysDot"/>
              </a:ln>
              <a:effectLst/>
            </c:spPr>
            <c:trendlineType val="linear"/>
            <c:dispRSqr val="0"/>
            <c:dispEq val="0"/>
          </c:trendline>
          <c:cat>
            <c:numRef>
              <c:f>'Graph Support'!$P$3:$T$3</c:f>
              <c:numCache>
                <c:formatCode>[$-409]mmm\-yy;@</c:formatCode>
                <c:ptCount val="5"/>
                <c:pt idx="0">
                  <c:v>45747</c:v>
                </c:pt>
                <c:pt idx="1">
                  <c:v>45838</c:v>
                </c:pt>
                <c:pt idx="2">
                  <c:v>45930</c:v>
                </c:pt>
                <c:pt idx="3">
                  <c:v>46022</c:v>
                </c:pt>
                <c:pt idx="4">
                  <c:v>46112</c:v>
                </c:pt>
              </c:numCache>
            </c:numRef>
          </c:cat>
          <c:val>
            <c:numRef>
              <c:f>'Graph Support'!$P$4:$T$4</c:f>
              <c:numCache>
                <c:formatCode>_(* #,##0_);_(* \(#,##0\);_(* "-"??_);_(@_)</c:formatCode>
                <c:ptCount val="5"/>
                <c:pt idx="0">
                  <c:v>1437</c:v>
                </c:pt>
                <c:pt idx="1">
                  <c:v>1092</c:v>
                </c:pt>
                <c:pt idx="2">
                  <c:v>1569</c:v>
                </c:pt>
                <c:pt idx="3">
                  <c:v>1569</c:v>
                </c:pt>
                <c:pt idx="4">
                  <c:v>881</c:v>
                </c:pt>
              </c:numCache>
            </c:numRef>
          </c:val>
          <c:smooth val="0"/>
          <c:extLst>
            <c:ext xmlns:c16="http://schemas.microsoft.com/office/drawing/2014/chart" uri="{C3380CC4-5D6E-409C-BE32-E72D297353CC}">
              <c16:uniqueId val="{00000002-3814-49FC-BA78-97E6E8F3776E}"/>
            </c:ext>
          </c:extLst>
        </c:ser>
        <c:ser>
          <c:idx val="1"/>
          <c:order val="1"/>
          <c:tx>
            <c:strRef>
              <c:f>'Graph Support'!$B$5</c:f>
              <c:strCache>
                <c:ptCount val="1"/>
                <c:pt idx="0">
                  <c:v>Monthly Cancellations</c:v>
                </c:pt>
              </c:strCache>
            </c:strRef>
          </c:tx>
          <c:spPr>
            <a:ln w="28575" cap="rnd">
              <a:solidFill>
                <a:schemeClr val="accent2"/>
              </a:solidFill>
              <a:round/>
            </a:ln>
            <a:effectLst/>
          </c:spPr>
          <c:marker>
            <c:symbol val="square"/>
            <c:size val="5"/>
            <c:spPr>
              <a:solidFill>
                <a:srgbClr val="A40C22"/>
              </a:solidFill>
              <a:ln w="9525">
                <a:solidFill>
                  <a:srgbClr val="A40C2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rgbClr val="FF0000"/>
                </a:solidFill>
                <a:prstDash val="sysDot"/>
              </a:ln>
              <a:effectLst/>
            </c:spPr>
            <c:trendlineType val="linear"/>
            <c:dispRSqr val="0"/>
            <c:dispEq val="0"/>
          </c:trendline>
          <c:trendline>
            <c:spPr>
              <a:ln w="19050" cap="rnd">
                <a:solidFill>
                  <a:srgbClr val="A40C22"/>
                </a:solidFill>
                <a:prstDash val="sysDot"/>
              </a:ln>
              <a:effectLst/>
            </c:spPr>
            <c:trendlineType val="linear"/>
            <c:dispRSqr val="0"/>
            <c:dispEq val="0"/>
          </c:trendline>
          <c:cat>
            <c:numRef>
              <c:f>'Graph Support'!$P$3:$T$3</c:f>
              <c:numCache>
                <c:formatCode>[$-409]mmm\-yy;@</c:formatCode>
                <c:ptCount val="5"/>
                <c:pt idx="0">
                  <c:v>45747</c:v>
                </c:pt>
                <c:pt idx="1">
                  <c:v>45838</c:v>
                </c:pt>
                <c:pt idx="2">
                  <c:v>45930</c:v>
                </c:pt>
                <c:pt idx="3">
                  <c:v>46022</c:v>
                </c:pt>
                <c:pt idx="4">
                  <c:v>46112</c:v>
                </c:pt>
              </c:numCache>
            </c:numRef>
          </c:cat>
          <c:val>
            <c:numRef>
              <c:f>'Graph Support'!$P$5:$T$5</c:f>
              <c:numCache>
                <c:formatCode>_(* #,##0_);_(* \(#,##0\);_(* "-"??_);_(@_)</c:formatCode>
                <c:ptCount val="5"/>
                <c:pt idx="0">
                  <c:v>279.84587813620089</c:v>
                </c:pt>
                <c:pt idx="1">
                  <c:v>348.63324538258576</c:v>
                </c:pt>
                <c:pt idx="2">
                  <c:v>613.19749652294854</c:v>
                </c:pt>
                <c:pt idx="3">
                  <c:v>765.8214285714289</c:v>
                </c:pt>
                <c:pt idx="4">
                  <c:v>738.48529411764707</c:v>
                </c:pt>
              </c:numCache>
            </c:numRef>
          </c:val>
          <c:smooth val="0"/>
          <c:extLst>
            <c:ext xmlns:c16="http://schemas.microsoft.com/office/drawing/2014/chart" uri="{C3380CC4-5D6E-409C-BE32-E72D297353CC}">
              <c16:uniqueId val="{00000005-3814-49FC-BA78-97E6E8F3776E}"/>
            </c:ext>
          </c:extLst>
        </c:ser>
        <c:ser>
          <c:idx val="2"/>
          <c:order val="2"/>
          <c:tx>
            <c:strRef>
              <c:f>'Graph Support'!$B$6</c:f>
              <c:strCache>
                <c:ptCount val="1"/>
                <c:pt idx="0">
                  <c:v>Monthly Closings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Support'!$P$3:$T$3</c:f>
              <c:numCache>
                <c:formatCode>[$-409]mmm\-yy;@</c:formatCode>
                <c:ptCount val="5"/>
                <c:pt idx="0">
                  <c:v>45747</c:v>
                </c:pt>
                <c:pt idx="1">
                  <c:v>45838</c:v>
                </c:pt>
                <c:pt idx="2">
                  <c:v>45930</c:v>
                </c:pt>
                <c:pt idx="3">
                  <c:v>46022</c:v>
                </c:pt>
                <c:pt idx="4">
                  <c:v>46112</c:v>
                </c:pt>
              </c:numCache>
            </c:numRef>
          </c:cat>
          <c:val>
            <c:numRef>
              <c:f>'Graph Support'!$P$6:$T$6</c:f>
              <c:numCache>
                <c:formatCode>_(* #,##0_);_(* \(#,##0\);_(* "-"??_);_(@_)</c:formatCode>
                <c:ptCount val="5"/>
                <c:pt idx="0">
                  <c:v>332</c:v>
                </c:pt>
                <c:pt idx="1">
                  <c:v>441</c:v>
                </c:pt>
                <c:pt idx="2">
                  <c:v>355</c:v>
                </c:pt>
                <c:pt idx="3">
                  <c:v>355</c:v>
                </c:pt>
                <c:pt idx="4">
                  <c:v>293.66666666666669</c:v>
                </c:pt>
              </c:numCache>
            </c:numRef>
          </c:val>
          <c:smooth val="0"/>
          <c:extLst>
            <c:ext xmlns:c16="http://schemas.microsoft.com/office/drawing/2014/chart" uri="{C3380CC4-5D6E-409C-BE32-E72D297353CC}">
              <c16:uniqueId val="{00000004-E305-44D6-B881-217220F9D627}"/>
            </c:ext>
          </c:extLst>
        </c:ser>
        <c:dLbls>
          <c:dLblPos val="b"/>
          <c:showLegendKey val="0"/>
          <c:showVal val="1"/>
          <c:showCatName val="0"/>
          <c:showSerName val="0"/>
          <c:showPercent val="0"/>
          <c:showBubbleSize val="0"/>
        </c:dLbls>
        <c:marker val="1"/>
        <c:smooth val="0"/>
        <c:axId val="43720008"/>
        <c:axId val="43720400"/>
      </c:lineChart>
      <c:catAx>
        <c:axId val="43720008"/>
        <c:scaling>
          <c:orientation val="minMax"/>
        </c:scaling>
        <c:delete val="0"/>
        <c:axPos val="b"/>
        <c:numFmt formatCode="[$-409]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43720400"/>
        <c:crosses val="autoZero"/>
        <c:auto val="0"/>
        <c:lblAlgn val="ctr"/>
        <c:lblOffset val="100"/>
        <c:noMultiLvlLbl val="0"/>
      </c:catAx>
      <c:valAx>
        <c:axId val="4372040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43720008"/>
        <c:crosses val="autoZero"/>
        <c:crossBetween val="between"/>
      </c:valAx>
      <c:spPr>
        <a:noFill/>
        <a:ln>
          <a:noFill/>
        </a:ln>
        <a:effectLst/>
      </c:spPr>
    </c:plotArea>
    <c:legend>
      <c:legendPos val="b"/>
      <c:legendEntry>
        <c:idx val="3"/>
        <c:delete val="1"/>
      </c:legendEntry>
      <c:legendEntry>
        <c:idx val="4"/>
        <c:delete val="1"/>
      </c:legendEntry>
      <c:legendEntry>
        <c:idx val="5"/>
        <c:delete val="1"/>
      </c:legendEntry>
      <c:legendEntry>
        <c:idx val="6"/>
        <c:delete val="1"/>
      </c:legendEntry>
      <c:layout>
        <c:manualLayout>
          <c:xMode val="edge"/>
          <c:yMode val="edge"/>
          <c:x val="0.11648209948696786"/>
          <c:y val="0.90633070866141729"/>
          <c:w val="0.88351785172582076"/>
          <c:h val="8.900752551159320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image" Target="../media/image1.emf"/><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1</xdr:colOff>
      <xdr:row>106</xdr:row>
      <xdr:rowOff>2</xdr:rowOff>
    </xdr:from>
    <xdr:to>
      <xdr:col>5</xdr:col>
      <xdr:colOff>1</xdr:colOff>
      <xdr:row>120</xdr:row>
      <xdr:rowOff>0</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304799</xdr:colOff>
      <xdr:row>121</xdr:row>
      <xdr:rowOff>19052</xdr:rowOff>
    </xdr:from>
    <xdr:to>
      <xdr:col>24</xdr:col>
      <xdr:colOff>38100</xdr:colOff>
      <xdr:row>134</xdr:row>
      <xdr:rowOff>142875</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18</xdr:row>
      <xdr:rowOff>133349</xdr:rowOff>
    </xdr:from>
    <xdr:to>
      <xdr:col>24</xdr:col>
      <xdr:colOff>0</xdr:colOff>
      <xdr:row>31</xdr:row>
      <xdr:rowOff>66675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2296775" y="3067049"/>
          <a:ext cx="3676650" cy="20478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baseline="0">
              <a:latin typeface="Arial Narrow" panose="020B0606020202030204" pitchFamily="34" charset="0"/>
              <a:cs typeface="Arial" panose="020B0604020202020204" pitchFamily="34" charset="0"/>
            </a:rPr>
            <a:t>Monitor Notes for PM/RM:</a:t>
          </a:r>
        </a:p>
        <a:p>
          <a:r>
            <a:rPr lang="en-US" sz="1000" b="0" u="none" baseline="0">
              <a:latin typeface="Arial Narrow" panose="020B0606020202030204" pitchFamily="34" charset="0"/>
              <a:cs typeface="Arial" panose="020B0604020202020204" pitchFamily="34" charset="0"/>
            </a:rPr>
            <a:t> </a:t>
          </a:r>
        </a:p>
        <a:p>
          <a:r>
            <a:rPr lang="en-US" sz="1000" b="0" u="none" baseline="0">
              <a:latin typeface="Arial Narrow" panose="020B0606020202030204" pitchFamily="34" charset="0"/>
              <a:cs typeface="Arial" panose="020B0604020202020204" pitchFamily="34" charset="0"/>
            </a:rPr>
            <a:t>ADD notes on missing data, questions for the company or other relevant information!!!</a:t>
          </a:r>
        </a:p>
      </xdr:txBody>
    </xdr:sp>
    <xdr:clientData/>
  </xdr:twoCellAnchor>
  <mc:AlternateContent xmlns:mc="http://schemas.openxmlformats.org/markup-compatibility/2006">
    <mc:Choice xmlns:a14="http://schemas.microsoft.com/office/drawing/2010/main" Requires="a14">
      <xdr:twoCellAnchor editAs="oneCell">
        <xdr:from>
          <xdr:col>7</xdr:col>
          <xdr:colOff>0</xdr:colOff>
          <xdr:row>3</xdr:row>
          <xdr:rowOff>1</xdr:rowOff>
        </xdr:from>
        <xdr:to>
          <xdr:col>16</xdr:col>
          <xdr:colOff>0</xdr:colOff>
          <xdr:row>12</xdr:row>
          <xdr:rowOff>0</xdr:rowOff>
        </xdr:to>
        <xdr:pic>
          <xdr:nvPicPr>
            <xdr:cNvPr id="10" name="Picture 9">
              <a:extLst>
                <a:ext uri="{FF2B5EF4-FFF2-40B4-BE49-F238E27FC236}">
                  <a16:creationId xmlns:a16="http://schemas.microsoft.com/office/drawing/2014/main" id="{00000000-0008-0000-0000-00000A000000}"/>
                </a:ext>
              </a:extLst>
            </xdr:cNvPr>
            <xdr:cNvPicPr>
              <a:picLocks noChangeAspect="1" noChangeArrowheads="1"/>
              <a:extLst>
                <a:ext uri="{84589F7E-364E-4C9E-8A38-B11213B215E9}">
                  <a14:cameraTool cellRange="'Heat Map'!$D$4:$L$12" spid="_x0000_s40344"/>
                </a:ext>
              </a:extLst>
            </xdr:cNvPicPr>
          </xdr:nvPicPr>
          <xdr:blipFill>
            <a:blip xmlns:r="http://schemas.openxmlformats.org/officeDocument/2006/relationships" r:embed="rId3"/>
            <a:srcRect/>
            <a:stretch>
              <a:fillRect/>
            </a:stretch>
          </xdr:blipFill>
          <xdr:spPr bwMode="auto">
            <a:xfrm>
              <a:off x="5372100" y="434341"/>
              <a:ext cx="6827520" cy="156209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18</xdr:col>
      <xdr:colOff>0</xdr:colOff>
      <xdr:row>3</xdr:row>
      <xdr:rowOff>47626</xdr:rowOff>
    </xdr:from>
    <xdr:to>
      <xdr:col>24</xdr:col>
      <xdr:colOff>0</xdr:colOff>
      <xdr:row>17</xdr:row>
      <xdr:rowOff>76201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96775" y="485776"/>
          <a:ext cx="3676650" cy="2333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Arial Narrow" panose="020B0606020202030204" pitchFamily="34" charset="0"/>
              <a:cs typeface="Arial" panose="020B0604020202020204" pitchFamily="34" charset="0"/>
            </a:rPr>
            <a:t>Instructions:</a:t>
          </a:r>
          <a:endParaRPr lang="en-US" sz="1000" b="1">
            <a:solidFill>
              <a:srgbClr val="0000FF"/>
            </a:solidFill>
            <a:latin typeface="Arial Narrow" panose="020B0606020202030204" pitchFamily="34" charset="0"/>
            <a:cs typeface="Arial" panose="020B0604020202020204" pitchFamily="34" charset="0"/>
          </a:endParaRPr>
        </a:p>
        <a:p>
          <a:pPr algn="l"/>
          <a:r>
            <a:rPr lang="en-US" sz="1000" b="1">
              <a:solidFill>
                <a:srgbClr val="0000FF"/>
              </a:solidFill>
              <a:latin typeface="Arial Narrow" panose="020B0606020202030204" pitchFamily="34" charset="0"/>
              <a:cs typeface="Arial" panose="020B0604020202020204" pitchFamily="34" charset="0"/>
            </a:rPr>
            <a:t>Blue text </a:t>
          </a:r>
          <a:r>
            <a:rPr lang="en-US" sz="1000">
              <a:latin typeface="Arial Narrow" panose="020B0606020202030204" pitchFamily="34" charset="0"/>
              <a:cs typeface="Arial" panose="020B0604020202020204" pitchFamily="34" charset="0"/>
            </a:rPr>
            <a:t>has been manually hardcoded by user. Any </a:t>
          </a:r>
          <a:r>
            <a:rPr lang="en-US" sz="1000" b="1">
              <a:solidFill>
                <a:srgbClr val="FF0000"/>
              </a:solidFill>
              <a:latin typeface="Arial Narrow" panose="020B0606020202030204" pitchFamily="34" charset="0"/>
              <a:cs typeface="Arial" panose="020B0604020202020204" pitchFamily="34" charset="0"/>
            </a:rPr>
            <a:t>red</a:t>
          </a:r>
          <a:r>
            <a:rPr lang="en-US" sz="1000">
              <a:latin typeface="Arial Narrow" panose="020B0606020202030204" pitchFamily="34" charset="0"/>
              <a:cs typeface="Arial" panose="020B0604020202020204" pitchFamily="34" charset="0"/>
            </a:rPr>
            <a:t> or </a:t>
          </a:r>
          <a:r>
            <a:rPr lang="en-US" sz="1000" b="1">
              <a:latin typeface="Arial Narrow" panose="020B0606020202030204" pitchFamily="34" charset="0"/>
              <a:cs typeface="Arial" panose="020B0604020202020204" pitchFamily="34" charset="0"/>
            </a:rPr>
            <a:t>black</a:t>
          </a:r>
          <a:r>
            <a:rPr lang="en-US" sz="1000">
              <a:latin typeface="Arial Narrow" panose="020B0606020202030204" pitchFamily="34" charset="0"/>
              <a:cs typeface="Arial" panose="020B0604020202020204" pitchFamily="34" charset="0"/>
            </a:rPr>
            <a:t> text represents a formula. When you receive an updated financial report</a:t>
          </a:r>
          <a:r>
            <a:rPr lang="en-US" sz="1000" baseline="0">
              <a:latin typeface="Arial Narrow" panose="020B0606020202030204" pitchFamily="34" charset="0"/>
              <a:cs typeface="Arial" panose="020B0604020202020204" pitchFamily="34" charset="0"/>
            </a:rPr>
            <a:t> or inventory status</a:t>
          </a:r>
          <a:r>
            <a:rPr lang="en-US" sz="1000">
              <a:latin typeface="Arial Narrow" panose="020B0606020202030204" pitchFamily="34" charset="0"/>
              <a:cs typeface="Arial" panose="020B0604020202020204" pitchFamily="34" charset="0"/>
            </a:rPr>
            <a:t> report manually hardcode the applicable</a:t>
          </a:r>
          <a:r>
            <a:rPr lang="en-US" sz="1000" baseline="0">
              <a:latin typeface="Arial Narrow" panose="020B0606020202030204" pitchFamily="34" charset="0"/>
              <a:cs typeface="Arial" panose="020B0604020202020204" pitchFamily="34" charset="0"/>
            </a:rPr>
            <a:t> data in the respective tabs </a:t>
          </a:r>
          <a:r>
            <a:rPr lang="en-US" sz="1000" b="1" baseline="0">
              <a:latin typeface="Arial Narrow" panose="020B0606020202030204" pitchFamily="34" charset="0"/>
              <a:cs typeface="Arial" panose="020B0604020202020204" pitchFamily="34" charset="0"/>
            </a:rPr>
            <a:t>AND </a:t>
          </a:r>
          <a:r>
            <a:rPr lang="en-US" sz="1000" b="0" baseline="0">
              <a:latin typeface="Arial Narrow" panose="020B0606020202030204" pitchFamily="34" charset="0"/>
              <a:cs typeface="Arial" panose="020B0604020202020204" pitchFamily="34" charset="0"/>
            </a:rPr>
            <a:t>update the "Latest Reporting Date" (Cells K2 and P2 in the Summary tab) so the new data is shown throughout the dashboard. All formulas and graphs will automatically update to the newest reporting period when completed. </a:t>
          </a:r>
          <a:endParaRPr lang="en-US" sz="1000" b="1" baseline="0">
            <a:latin typeface="Arial Narrow" panose="020B0606020202030204" pitchFamily="34" charset="0"/>
            <a:cs typeface="Arial" panose="020B0604020202020204" pitchFamily="34" charset="0"/>
          </a:endParaRPr>
        </a:p>
        <a:p>
          <a:pPr algn="l"/>
          <a:endParaRPr lang="en-US" sz="1000" baseline="0">
            <a:latin typeface="Arial Narrow" panose="020B0606020202030204" pitchFamily="34" charset="0"/>
            <a:cs typeface="Arial" panose="020B0604020202020204" pitchFamily="34" charset="0"/>
          </a:endParaRPr>
        </a:p>
        <a:p>
          <a:pPr algn="l"/>
          <a:r>
            <a:rPr lang="en-US" sz="1000" baseline="0">
              <a:latin typeface="Arial Narrow" panose="020B0606020202030204" pitchFamily="34" charset="0"/>
              <a:cs typeface="Arial" panose="020B0604020202020204" pitchFamily="34" charset="0"/>
            </a:rPr>
            <a:t>When updating the data tabs (Tracking &amp; Banking, Inventory, Income Statement, Balance Sheet, Covenants) make sure each formula (always in </a:t>
          </a:r>
          <a:r>
            <a:rPr lang="en-US" sz="1000" b="1" baseline="0">
              <a:latin typeface="Arial Narrow" panose="020B0606020202030204" pitchFamily="34" charset="0"/>
              <a:cs typeface="Arial" panose="020B0604020202020204" pitchFamily="34" charset="0"/>
            </a:rPr>
            <a:t>black text) </a:t>
          </a:r>
          <a:r>
            <a:rPr lang="en-US" sz="1000" baseline="0">
              <a:latin typeface="Arial Narrow" panose="020B0606020202030204" pitchFamily="34" charset="0"/>
              <a:cs typeface="Arial" panose="020B0604020202020204" pitchFamily="34" charset="0"/>
            </a:rPr>
            <a:t>is dragged from the prior date cell to the current date cell--if a formula is not already in place. </a:t>
          </a:r>
          <a:endParaRPr lang="en-US" sz="1000">
            <a:latin typeface="Arial Narrow" panose="020B0606020202030204" pitchFamily="34" charset="0"/>
          </a:endParaRPr>
        </a:p>
      </xdr:txBody>
    </xdr:sp>
    <xdr:clientData/>
  </xdr:twoCellAnchor>
  <xdr:twoCellAnchor>
    <xdr:from>
      <xdr:col>18</xdr:col>
      <xdr:colOff>1</xdr:colOff>
      <xdr:row>106</xdr:row>
      <xdr:rowOff>9524</xdr:rowOff>
    </xdr:from>
    <xdr:to>
      <xdr:col>24</xdr:col>
      <xdr:colOff>1</xdr:colOff>
      <xdr:row>118</xdr:row>
      <xdr:rowOff>0</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2296776" y="13925549"/>
          <a:ext cx="3676650" cy="1933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Arial Narrow" panose="020B0606020202030204" pitchFamily="34" charset="0"/>
              <a:cs typeface="Arial" panose="020B0604020202020204" pitchFamily="34" charset="0"/>
            </a:rPr>
            <a:t>Graph Instructions</a:t>
          </a:r>
          <a:endParaRPr lang="en-US" sz="1050" baseline="0">
            <a:latin typeface="Arial Narrow" panose="020B0606020202030204" pitchFamily="34" charset="0"/>
            <a:cs typeface="Arial" panose="020B0604020202020204" pitchFamily="34" charset="0"/>
          </a:endParaRPr>
        </a:p>
        <a:p>
          <a:r>
            <a:rPr lang="en-US" sz="1050" baseline="0">
              <a:latin typeface="Arial Narrow" panose="020B0606020202030204" pitchFamily="34" charset="0"/>
              <a:cs typeface="Arial" panose="020B0604020202020204" pitchFamily="34" charset="0"/>
            </a:rPr>
            <a:t>See Graph Support tab (currently hidden) for supporting data tables. which are automatically linked to data driven by the Latest Financial / Inventory Reporting Dates in Summary tab cells K2 / P2.</a:t>
          </a:r>
        </a:p>
        <a:p>
          <a:endParaRPr lang="en-US" sz="1050" baseline="0">
            <a:latin typeface="Arial Narrow" panose="020B0606020202030204" pitchFamily="34" charset="0"/>
            <a:cs typeface="Arial" panose="020B0604020202020204" pitchFamily="34" charset="0"/>
          </a:endParaRPr>
        </a:p>
        <a:p>
          <a:r>
            <a:rPr lang="en-US" sz="1050" baseline="0">
              <a:latin typeface="Arial Narrow" panose="020B0606020202030204" pitchFamily="34" charset="0"/>
              <a:cs typeface="Arial" panose="020B0604020202020204" pitchFamily="34" charset="0"/>
            </a:rPr>
            <a:t>Tip: Make sure data labels are readable (don't overlap) and the graph has the appropriate axis range</a:t>
          </a:r>
        </a:p>
        <a:p>
          <a:endParaRPr lang="en-US" sz="1050" baseline="0">
            <a:latin typeface="Arial Narrow" panose="020B0606020202030204" pitchFamily="34" charset="0"/>
            <a:cs typeface="Arial" panose="020B0604020202020204" pitchFamily="34" charset="0"/>
          </a:endParaRPr>
        </a:p>
        <a:p>
          <a:r>
            <a:rPr lang="en-US" sz="1050" baseline="0">
              <a:latin typeface="Arial Narrow" panose="020B0606020202030204" pitchFamily="34" charset="0"/>
              <a:cs typeface="Arial" panose="020B0604020202020204" pitchFamily="34" charset="0"/>
            </a:rPr>
            <a:t>If graph does not apply (no project info, then simply zero out data in the Inventory tabs) and keep in place</a:t>
          </a:r>
        </a:p>
        <a:p>
          <a:endParaRPr lang="en-US" sz="1050" baseline="0">
            <a:latin typeface="Arial Narrow" panose="020B0606020202030204" pitchFamily="34" charset="0"/>
            <a:cs typeface="Arial" panose="020B0604020202020204" pitchFamily="34" charset="0"/>
          </a:endParaRPr>
        </a:p>
      </xdr:txBody>
    </xdr:sp>
    <xdr:clientData/>
  </xdr:twoCellAnchor>
  <xdr:twoCellAnchor>
    <xdr:from>
      <xdr:col>5</xdr:col>
      <xdr:colOff>114301</xdr:colOff>
      <xdr:row>106</xdr:row>
      <xdr:rowOff>9526</xdr:rowOff>
    </xdr:from>
    <xdr:to>
      <xdr:col>10</xdr:col>
      <xdr:colOff>342900</xdr:colOff>
      <xdr:row>120</xdr:row>
      <xdr:rowOff>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xdr:colOff>
      <xdr:row>121</xdr:row>
      <xdr:rowOff>0</xdr:rowOff>
    </xdr:from>
    <xdr:to>
      <xdr:col>5</xdr:col>
      <xdr:colOff>1</xdr:colOff>
      <xdr:row>135</xdr:row>
      <xdr:rowOff>1</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48</xdr:row>
      <xdr:rowOff>152399</xdr:rowOff>
    </xdr:from>
    <xdr:to>
      <xdr:col>24</xdr:col>
      <xdr:colOff>0</xdr:colOff>
      <xdr:row>67</xdr:row>
      <xdr:rowOff>66675</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2296775" y="6410324"/>
          <a:ext cx="3676650" cy="2314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Arial Narrow" panose="020B0606020202030204" pitchFamily="34" charset="0"/>
              <a:cs typeface="Arial" panose="020B0604020202020204" pitchFamily="34" charset="0"/>
            </a:rPr>
            <a:t>Banking Relationship</a:t>
          </a:r>
          <a:r>
            <a:rPr lang="en-US" sz="1000" b="1" u="sng" baseline="0">
              <a:latin typeface="Arial Narrow" panose="020B0606020202030204" pitchFamily="34" charset="0"/>
              <a:cs typeface="Arial" panose="020B0604020202020204" pitchFamily="34" charset="0"/>
            </a:rPr>
            <a:t> </a:t>
          </a:r>
          <a:r>
            <a:rPr lang="en-US" sz="1000" b="1" u="sng">
              <a:latin typeface="Arial Narrow" panose="020B0606020202030204" pitchFamily="34" charset="0"/>
              <a:cs typeface="Arial" panose="020B0604020202020204" pitchFamily="34" charset="0"/>
            </a:rPr>
            <a:t>Instructions:</a:t>
          </a:r>
          <a:endParaRPr lang="en-US" sz="1000" b="1" u="none">
            <a:solidFill>
              <a:srgbClr val="0000FF"/>
            </a:solidFill>
            <a:latin typeface="Arial Narrow" panose="020B0606020202030204" pitchFamily="34" charset="0"/>
            <a:cs typeface="Arial" panose="020B0604020202020204" pitchFamily="34" charset="0"/>
          </a:endParaRPr>
        </a:p>
        <a:p>
          <a:r>
            <a:rPr lang="en-US" sz="1000" b="0" u="none">
              <a:solidFill>
                <a:sysClr val="windowText" lastClr="000000"/>
              </a:solidFill>
              <a:latin typeface="Arial Narrow" panose="020B0606020202030204" pitchFamily="34" charset="0"/>
              <a:cs typeface="Arial" panose="020B0604020202020204" pitchFamily="34" charset="0"/>
            </a:rPr>
            <a:t>-</a:t>
          </a:r>
          <a:r>
            <a:rPr lang="en-US" sz="1000" b="0" u="none" baseline="0">
              <a:solidFill>
                <a:sysClr val="windowText" lastClr="000000"/>
              </a:solidFill>
              <a:latin typeface="Arial Narrow" panose="020B0606020202030204" pitchFamily="34" charset="0"/>
              <a:cs typeface="Arial" panose="020B0604020202020204" pitchFamily="34" charset="0"/>
            </a:rPr>
            <a:t> Enter Borrower tracking items, freq. and days due on the </a:t>
          </a:r>
          <a:r>
            <a:rPr lang="en-US" sz="1000" b="1" u="none" baseline="0">
              <a:solidFill>
                <a:sysClr val="windowText" lastClr="000000"/>
              </a:solidFill>
              <a:latin typeface="Arial Narrow" panose="020B0606020202030204" pitchFamily="34" charset="0"/>
              <a:cs typeface="Arial" panose="020B0604020202020204" pitchFamily="34" charset="0"/>
            </a:rPr>
            <a:t>Tracking &amp; Banking tab </a:t>
          </a:r>
          <a:r>
            <a:rPr lang="en-US" sz="1000" b="0" u="none" baseline="0">
              <a:solidFill>
                <a:sysClr val="windowText" lastClr="000000"/>
              </a:solidFill>
              <a:latin typeface="Arial Narrow" panose="020B0606020202030204" pitchFamily="34" charset="0"/>
              <a:cs typeface="Arial" panose="020B0604020202020204" pitchFamily="34" charset="0"/>
            </a:rPr>
            <a:t>(follow directions on tab) and formulas will updated automatically to show the Report (and reporting date) last received and the  next report due</a:t>
          </a:r>
        </a:p>
        <a:p>
          <a:r>
            <a:rPr lang="en-US" sz="1000" b="0" u="none" baseline="0">
              <a:solidFill>
                <a:sysClr val="windowText" lastClr="000000"/>
              </a:solidFill>
              <a:latin typeface="Arial Narrow" panose="020B0606020202030204" pitchFamily="34" charset="0"/>
              <a:cs typeface="Arial" panose="020B0604020202020204" pitchFamily="34" charset="0"/>
            </a:rPr>
            <a:t>- Enter Guarantor(s) tracking items in the </a:t>
          </a:r>
          <a:r>
            <a:rPr lang="en-US" sz="1000" b="1" u="none" baseline="0">
              <a:solidFill>
                <a:sysClr val="windowText" lastClr="000000"/>
              </a:solidFill>
              <a:latin typeface="Arial Narrow" panose="020B0606020202030204" pitchFamily="34" charset="0"/>
              <a:cs typeface="Arial" panose="020B0604020202020204" pitchFamily="34" charset="0"/>
            </a:rPr>
            <a:t>Tracking &amp; Banking Tab </a:t>
          </a:r>
          <a:r>
            <a:rPr lang="en-US" sz="1000" b="0" u="none" baseline="0">
              <a:solidFill>
                <a:sysClr val="windowText" lastClr="000000"/>
              </a:solidFill>
              <a:latin typeface="Arial Narrow" panose="020B0606020202030204" pitchFamily="34" charset="0"/>
              <a:cs typeface="Arial" panose="020B0604020202020204" pitchFamily="34" charset="0"/>
            </a:rPr>
            <a:t>being sure to select YES for each guarantor on the loan and enter the tracking items in the same order for each Guarantor</a:t>
          </a:r>
        </a:p>
        <a:p>
          <a:r>
            <a:rPr lang="en-US" sz="1000" b="0" u="none" baseline="0">
              <a:solidFill>
                <a:sysClr val="windowText" lastClr="000000"/>
              </a:solidFill>
              <a:latin typeface="Arial Narrow" panose="020B0606020202030204" pitchFamily="34" charset="0"/>
              <a:cs typeface="Arial" panose="020B0604020202020204" pitchFamily="34" charset="0"/>
            </a:rPr>
            <a:t>- The formulas will automatically update to show the last reporting item received by ALL guarantors. If the same reporting item, for example Interim statements, is missing from one of the Guarantors, then the Last Rec'd column will show the most recent period in which the item has been received for all Guarantors</a:t>
          </a:r>
        </a:p>
        <a:p>
          <a:r>
            <a:rPr lang="en-US" sz="1000" b="0" u="none" baseline="0">
              <a:solidFill>
                <a:sysClr val="windowText" lastClr="000000"/>
              </a:solidFill>
              <a:latin typeface="Arial Narrow" panose="020B0606020202030204" pitchFamily="34" charset="0"/>
              <a:cs typeface="Arial" panose="020B0604020202020204" pitchFamily="34" charset="0"/>
            </a:rPr>
            <a:t>- Be sure that reporting items are entered in the same order for each Guarantor  </a:t>
          </a:r>
        </a:p>
      </xdr:txBody>
    </xdr:sp>
    <xdr:clientData/>
  </xdr:twoCellAnchor>
  <xdr:twoCellAnchor>
    <xdr:from>
      <xdr:col>18</xdr:col>
      <xdr:colOff>1</xdr:colOff>
      <xdr:row>68</xdr:row>
      <xdr:rowOff>85723</xdr:rowOff>
    </xdr:from>
    <xdr:to>
      <xdr:col>24</xdr:col>
      <xdr:colOff>1</xdr:colOff>
      <xdr:row>105</xdr:row>
      <xdr:rowOff>19050</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12277726" y="8943973"/>
          <a:ext cx="3676650" cy="49530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none">
              <a:solidFill>
                <a:sysClr val="windowText" lastClr="000000"/>
              </a:solidFill>
              <a:latin typeface="Arial Narrow" panose="020B0606020202030204" pitchFamily="34" charset="0"/>
              <a:cs typeface="Arial" panose="020B0604020202020204" pitchFamily="34" charset="0"/>
            </a:rPr>
            <a:t>Financial Statement Analysis Instructions:</a:t>
          </a:r>
        </a:p>
        <a:p>
          <a:r>
            <a:rPr lang="en-US" sz="1000" b="0" u="none">
              <a:solidFill>
                <a:sysClr val="windowText" lastClr="000000"/>
              </a:solidFill>
              <a:latin typeface="Arial Narrow" panose="020B0606020202030204" pitchFamily="34" charset="0"/>
              <a:cs typeface="Arial" panose="020B0604020202020204" pitchFamily="34" charset="0"/>
            </a:rPr>
            <a:t>- Specify in Row 59</a:t>
          </a:r>
          <a:r>
            <a:rPr lang="en-US" sz="1000" b="0" u="none" baseline="0">
              <a:solidFill>
                <a:sysClr val="windowText" lastClr="000000"/>
              </a:solidFill>
              <a:latin typeface="Arial Narrow" panose="020B0606020202030204" pitchFamily="34" charset="0"/>
              <a:cs typeface="Arial" panose="020B0604020202020204" pitchFamily="34" charset="0"/>
            </a:rPr>
            <a:t> which financials are used (Br or Grt. and name)</a:t>
          </a:r>
        </a:p>
        <a:p>
          <a:r>
            <a:rPr lang="en-US" sz="1000" b="0" u="none" baseline="0">
              <a:solidFill>
                <a:sysClr val="windowText" lastClr="000000"/>
              </a:solidFill>
              <a:latin typeface="Arial Narrow" panose="020B0606020202030204" pitchFamily="34" charset="0"/>
              <a:cs typeface="Arial" panose="020B0604020202020204" pitchFamily="34" charset="0"/>
            </a:rPr>
            <a:t>- Dates and formulas automatically pull all information based on the Financial Reporting Date (Cell K2)</a:t>
          </a:r>
        </a:p>
        <a:p>
          <a:r>
            <a:rPr lang="en-US" sz="1000" b="0" u="none" baseline="0">
              <a:solidFill>
                <a:sysClr val="windowText" lastClr="000000"/>
              </a:solidFill>
              <a:latin typeface="Arial Narrow" panose="020B0606020202030204" pitchFamily="34" charset="0"/>
              <a:cs typeface="Arial" panose="020B0604020202020204" pitchFamily="34" charset="0"/>
            </a:rPr>
            <a:t>- Input quarterly financials in the Income Statement tab</a:t>
          </a:r>
        </a:p>
        <a:p>
          <a:endParaRPr lang="en-US" sz="1000" b="1" u="none">
            <a:solidFill>
              <a:sysClr val="windowText" lastClr="000000"/>
            </a:solidFill>
            <a:latin typeface="Arial Narrow" panose="020B0606020202030204" pitchFamily="34" charset="0"/>
            <a:cs typeface="Arial" panose="020B0604020202020204" pitchFamily="34" charset="0"/>
          </a:endParaRPr>
        </a:p>
        <a:p>
          <a:r>
            <a:rPr lang="en-US" sz="1000" b="1" u="none">
              <a:solidFill>
                <a:sysClr val="windowText" lastClr="000000"/>
              </a:solidFill>
              <a:latin typeface="Arial Narrow" panose="020B0606020202030204" pitchFamily="34" charset="0"/>
              <a:cs typeface="Arial" panose="020B0604020202020204" pitchFamily="34" charset="0"/>
            </a:rPr>
            <a:t>Balance Sheet Instructions:</a:t>
          </a:r>
        </a:p>
        <a:p>
          <a:r>
            <a:rPr lang="en-US" sz="1000" b="0">
              <a:solidFill>
                <a:sysClr val="windowText" lastClr="000000"/>
              </a:solidFill>
              <a:latin typeface="Arial Narrow" panose="020B0606020202030204" pitchFamily="34" charset="0"/>
              <a:cs typeface="Arial" panose="020B0604020202020204" pitchFamily="34" charset="0"/>
            </a:rPr>
            <a:t>- Update balance sheet</a:t>
          </a:r>
          <a:r>
            <a:rPr lang="en-US" sz="1000" b="0" baseline="0">
              <a:solidFill>
                <a:sysClr val="windowText" lastClr="000000"/>
              </a:solidFill>
              <a:latin typeface="Arial Narrow" panose="020B0606020202030204" pitchFamily="34" charset="0"/>
              <a:cs typeface="Arial" panose="020B0604020202020204" pitchFamily="34" charset="0"/>
            </a:rPr>
            <a:t> inputs (hardcodes in blue) in the Balance Sheet tab</a:t>
          </a:r>
        </a:p>
        <a:p>
          <a:r>
            <a:rPr lang="en-US" sz="1000" b="0" baseline="0">
              <a:solidFill>
                <a:sysClr val="windowText" lastClr="000000"/>
              </a:solidFill>
              <a:latin typeface="Arial Narrow" panose="020B0606020202030204" pitchFamily="34" charset="0"/>
              <a:cs typeface="Arial" panose="020B0604020202020204" pitchFamily="34" charset="0"/>
            </a:rPr>
            <a:t>- Double check that the BS actually balances</a:t>
          </a:r>
        </a:p>
        <a:p>
          <a:r>
            <a:rPr lang="en-US" sz="1000" b="0" baseline="0">
              <a:solidFill>
                <a:sysClr val="windowText" lastClr="000000"/>
              </a:solidFill>
              <a:latin typeface="Arial Narrow" panose="020B0606020202030204" pitchFamily="34" charset="0"/>
              <a:cs typeface="Arial" panose="020B0604020202020204" pitchFamily="34" charset="0"/>
            </a:rPr>
            <a:t>- Double check that the TNW matches the Covenant summary</a:t>
          </a:r>
        </a:p>
        <a:p>
          <a:r>
            <a:rPr lang="en-US" sz="1000" b="0" baseline="0">
              <a:solidFill>
                <a:sysClr val="windowText" lastClr="000000"/>
              </a:solidFill>
              <a:latin typeface="Arial Narrow" panose="020B0606020202030204" pitchFamily="34" charset="0"/>
              <a:cs typeface="Arial" panose="020B0604020202020204" pitchFamily="34" charset="0"/>
            </a:rPr>
            <a:t>- Include notes/commentary as applicable</a:t>
          </a:r>
        </a:p>
        <a:p>
          <a:endParaRPr lang="en-US" sz="1000" b="0" baseline="0">
            <a:solidFill>
              <a:sysClr val="windowText" lastClr="000000"/>
            </a:solidFill>
            <a:latin typeface="Arial Narrow" panose="020B0606020202030204" pitchFamily="34" charset="0"/>
            <a:cs typeface="Arial" panose="020B0604020202020204" pitchFamily="34" charset="0"/>
          </a:endParaRPr>
        </a:p>
        <a:p>
          <a:r>
            <a:rPr lang="en-US" sz="1000" b="1" baseline="0">
              <a:solidFill>
                <a:sysClr val="windowText" lastClr="000000"/>
              </a:solidFill>
              <a:latin typeface="Arial Narrow" panose="020B0606020202030204" pitchFamily="34" charset="0"/>
              <a:cs typeface="Arial" panose="020B0604020202020204" pitchFamily="34" charset="0"/>
            </a:rPr>
            <a:t>Covenant Instructions:</a:t>
          </a:r>
        </a:p>
        <a:p>
          <a:r>
            <a:rPr lang="en-US" sz="1000" b="0" baseline="0">
              <a:solidFill>
                <a:sysClr val="windowText" lastClr="000000"/>
              </a:solidFill>
              <a:latin typeface="Arial Narrow" panose="020B0606020202030204" pitchFamily="34" charset="0"/>
              <a:cs typeface="Arial" panose="020B0604020202020204" pitchFamily="34" charset="0"/>
            </a:rPr>
            <a:t>- Covenants (column H) are linked to Covenant Tab</a:t>
          </a:r>
        </a:p>
        <a:p>
          <a:r>
            <a:rPr lang="en-US" sz="1000" b="0" baseline="0">
              <a:solidFill>
                <a:sysClr val="windowText" lastClr="000000"/>
              </a:solidFill>
              <a:latin typeface="Arial Narrow" panose="020B0606020202030204" pitchFamily="34" charset="0"/>
              <a:cs typeface="Arial" panose="020B0604020202020204" pitchFamily="34" charset="0"/>
            </a:rPr>
            <a:t>- If you desire to change the presentation order or change covenants, make ALL changes in the Covenants tab and it will be reflected in the Summary</a:t>
          </a:r>
        </a:p>
        <a:p>
          <a:r>
            <a:rPr lang="en-US" sz="1000" b="0" baseline="0">
              <a:solidFill>
                <a:sysClr val="windowText" lastClr="000000"/>
              </a:solidFill>
              <a:latin typeface="Arial Narrow" panose="020B0606020202030204" pitchFamily="34" charset="0"/>
              <a:cs typeface="Arial" panose="020B0604020202020204" pitchFamily="34" charset="0"/>
            </a:rPr>
            <a:t>- Specify if it is a Borrower or Guarantor covenant (hardcode)</a:t>
          </a:r>
        </a:p>
        <a:p>
          <a:r>
            <a:rPr lang="en-US" sz="1000" b="0" baseline="0">
              <a:solidFill>
                <a:sysClr val="windowText" lastClr="000000"/>
              </a:solidFill>
              <a:latin typeface="Arial Narrow" panose="020B0606020202030204" pitchFamily="34" charset="0"/>
              <a:cs typeface="Arial" panose="020B0604020202020204" pitchFamily="34" charset="0"/>
            </a:rPr>
            <a:t>- Covenants will automatically update based on the latest financial data received (linked to cell K2)</a:t>
          </a:r>
        </a:p>
        <a:p>
          <a:r>
            <a:rPr lang="en-US" sz="1000" b="0" baseline="0">
              <a:solidFill>
                <a:sysClr val="windowText" lastClr="000000"/>
              </a:solidFill>
              <a:latin typeface="Arial Narrow" panose="020B0606020202030204" pitchFamily="34" charset="0"/>
              <a:cs typeface="Arial" panose="020B0604020202020204" pitchFamily="34" charset="0"/>
            </a:rPr>
            <a:t>- Go to Covenant Tab to view/edit formulas for each new borrower or covenant</a:t>
          </a:r>
        </a:p>
        <a:p>
          <a:r>
            <a:rPr lang="en-US" sz="1000" b="0" baseline="0">
              <a:solidFill>
                <a:sysClr val="windowText" lastClr="000000"/>
              </a:solidFill>
              <a:latin typeface="Arial Narrow" panose="020B0606020202030204" pitchFamily="34" charset="0"/>
              <a:cs typeface="Arial" panose="020B0604020202020204" pitchFamily="34" charset="0"/>
            </a:rPr>
            <a:t>- Be careful when moving/editing Liquidity b/c it's tied to the Heat Map and other formulas)</a:t>
          </a:r>
        </a:p>
        <a:p>
          <a:endParaRPr lang="en-US" sz="1000" b="0" baseline="0">
            <a:solidFill>
              <a:sysClr val="windowText" lastClr="000000"/>
            </a:solidFill>
            <a:latin typeface="Arial Narrow" panose="020B0606020202030204" pitchFamily="34" charset="0"/>
            <a:cs typeface="Arial" panose="020B0604020202020204" pitchFamily="34" charset="0"/>
          </a:endParaRPr>
        </a:p>
        <a:p>
          <a:r>
            <a:rPr lang="en-US" sz="1000" b="1">
              <a:solidFill>
                <a:sysClr val="windowText" lastClr="000000"/>
              </a:solidFill>
              <a:latin typeface="Arial Narrow" panose="020B0606020202030204" pitchFamily="34" charset="0"/>
              <a:cs typeface="Arial" panose="020B0604020202020204" pitchFamily="34" charset="0"/>
            </a:rPr>
            <a:t>Curtailment Instructions:</a:t>
          </a:r>
        </a:p>
        <a:p>
          <a:r>
            <a:rPr lang="en-US" sz="1000" b="0">
              <a:solidFill>
                <a:sysClr val="windowText" lastClr="000000"/>
              </a:solidFill>
              <a:latin typeface="Arial Narrow" panose="020B0606020202030204" pitchFamily="34" charset="0"/>
              <a:cs typeface="Arial" panose="020B0604020202020204" pitchFamily="34" charset="0"/>
            </a:rPr>
            <a:t>- Type</a:t>
          </a:r>
          <a:r>
            <a:rPr lang="en-US" sz="1000" b="0" baseline="0">
              <a:solidFill>
                <a:sysClr val="windowText" lastClr="000000"/>
              </a:solidFill>
              <a:latin typeface="Arial Narrow" panose="020B0606020202030204" pitchFamily="34" charset="0"/>
              <a:cs typeface="Arial" panose="020B0604020202020204" pitchFamily="34" charset="0"/>
            </a:rPr>
            <a:t> in covenants (pacing or curtailments) in blue (K86-91) and the last month of respective inventory/curtailment payment data received (M86)</a:t>
          </a:r>
        </a:p>
        <a:p>
          <a:r>
            <a:rPr lang="en-US" sz="1000" b="0" baseline="0">
              <a:solidFill>
                <a:sysClr val="windowText" lastClr="000000"/>
              </a:solidFill>
              <a:latin typeface="Arial Narrow" panose="020B0606020202030204" pitchFamily="34" charset="0"/>
              <a:cs typeface="Arial" panose="020B0604020202020204" pitchFamily="34" charset="0"/>
            </a:rPr>
            <a:t>- The formulas will automatically pull the curtailments to date and calculate the projected pace at the testing date</a:t>
          </a:r>
        </a:p>
        <a:p>
          <a:r>
            <a:rPr lang="en-US" sz="1000" b="0" baseline="0">
              <a:solidFill>
                <a:sysClr val="windowText" lastClr="000000"/>
              </a:solidFill>
              <a:latin typeface="Arial Narrow" panose="020B0606020202030204" pitchFamily="34" charset="0"/>
              <a:cs typeface="Arial" panose="020B0604020202020204" pitchFamily="34" charset="0"/>
            </a:rPr>
            <a:t>- To enter data (go to the Inventory tab and hardcode applicable starts/conversions/curtailments)</a:t>
          </a:r>
        </a:p>
        <a:p>
          <a:r>
            <a:rPr lang="en-US" sz="1000" b="0" baseline="0">
              <a:solidFill>
                <a:sysClr val="windowText" lastClr="000000"/>
              </a:solidFill>
              <a:latin typeface="Arial Narrow" panose="020B0606020202030204" pitchFamily="34" charset="0"/>
              <a:cs typeface="Arial" panose="020B0604020202020204" pitchFamily="34" charset="0"/>
            </a:rPr>
            <a:t>- If no curtailments, enter </a:t>
          </a:r>
          <a:r>
            <a:rPr lang="en-US" sz="1000" b="1" baseline="0">
              <a:solidFill>
                <a:sysClr val="windowText" lastClr="000000"/>
              </a:solidFill>
              <a:latin typeface="Arial Narrow" panose="020B0606020202030204" pitchFamily="34" charset="0"/>
              <a:cs typeface="Arial" panose="020B0604020202020204" pitchFamily="34" charset="0"/>
            </a:rPr>
            <a:t>NA </a:t>
          </a:r>
          <a:r>
            <a:rPr lang="en-US" sz="1000" b="0" baseline="0">
              <a:solidFill>
                <a:sysClr val="windowText" lastClr="000000"/>
              </a:solidFill>
              <a:latin typeface="Arial Narrow" panose="020B0606020202030204" pitchFamily="34" charset="0"/>
              <a:cs typeface="Arial" panose="020B0604020202020204" pitchFamily="34" charset="0"/>
            </a:rPr>
            <a:t>on the inventory section cell B58 (or you can manually override it in cells H89-H93</a:t>
          </a:r>
          <a:endParaRPr lang="en-US" sz="1000" b="1" baseline="0">
            <a:solidFill>
              <a:sysClr val="windowText" lastClr="000000"/>
            </a:solidFill>
            <a:latin typeface="Arial Narrow" panose="020B0606020202030204" pitchFamily="34" charset="0"/>
            <a:cs typeface="Arial" panose="020B0604020202020204" pitchFamily="34" charset="0"/>
          </a:endParaRPr>
        </a:p>
      </xdr:txBody>
    </xdr:sp>
    <xdr:clientData/>
  </xdr:twoCellAnchor>
  <xdr:twoCellAnchor>
    <xdr:from>
      <xdr:col>10</xdr:col>
      <xdr:colOff>457200</xdr:colOff>
      <xdr:row>121</xdr:row>
      <xdr:rowOff>19050</xdr:rowOff>
    </xdr:from>
    <xdr:to>
      <xdr:col>15</xdr:col>
      <xdr:colOff>819150</xdr:colOff>
      <xdr:row>135</xdr:row>
      <xdr:rowOff>19050</xdr:rowOff>
    </xdr:to>
    <xdr:graphicFrame macro="">
      <xdr:nvGraphicFramePr>
        <xdr:cNvPr id="19" name="Chart 18">
          <a:extLst>
            <a:ext uri="{FF2B5EF4-FFF2-40B4-BE49-F238E27FC236}">
              <a16:creationId xmlns:a16="http://schemas.microsoft.com/office/drawing/2014/main" id="{00000000-0008-0000-0000-000013000000}"/>
            </a:ext>
            <a:ext uri="{147F2762-F138-4A5C-976F-8EAC2B608ADB}">
              <a16:predDERef xmlns:a16="http://schemas.microsoft.com/office/drawing/2014/main" pre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304801</xdr:colOff>
      <xdr:row>135</xdr:row>
      <xdr:rowOff>104776</xdr:rowOff>
    </xdr:from>
    <xdr:to>
      <xdr:col>24</xdr:col>
      <xdr:colOff>76200</xdr:colOff>
      <xdr:row>149</xdr:row>
      <xdr:rowOff>133350</xdr:rowOff>
    </xdr:to>
    <xdr:graphicFrame macro="">
      <xdr:nvGraphicFramePr>
        <xdr:cNvPr id="20" name="Chart 19">
          <a:extLst>
            <a:ext uri="{FF2B5EF4-FFF2-40B4-BE49-F238E27FC236}">
              <a16:creationId xmlns:a16="http://schemas.microsoft.com/office/drawing/2014/main" id="{00000000-0008-0000-0000-000014000000}"/>
            </a:ext>
            <a:ext uri="{147F2762-F138-4A5C-976F-8EAC2B608ADB}">
              <a16:predDERef xmlns:a16="http://schemas.microsoft.com/office/drawing/2014/main" pre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228599</xdr:colOff>
      <xdr:row>50</xdr:row>
      <xdr:rowOff>1</xdr:rowOff>
    </xdr:from>
    <xdr:to>
      <xdr:col>16</xdr:col>
      <xdr:colOff>9524</xdr:colOff>
      <xdr:row>66</xdr:row>
      <xdr:rowOff>76201</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438149</xdr:colOff>
      <xdr:row>106</xdr:row>
      <xdr:rowOff>9527</xdr:rowOff>
    </xdr:from>
    <xdr:to>
      <xdr:col>16</xdr:col>
      <xdr:colOff>0</xdr:colOff>
      <xdr:row>120</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114300</xdr:colOff>
      <xdr:row>121</xdr:row>
      <xdr:rowOff>0</xdr:rowOff>
    </xdr:from>
    <xdr:to>
      <xdr:col>10</xdr:col>
      <xdr:colOff>333375</xdr:colOff>
      <xdr:row>135</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32</xdr:row>
      <xdr:rowOff>142875</xdr:rowOff>
    </xdr:from>
    <xdr:to>
      <xdr:col>5</xdr:col>
      <xdr:colOff>485776</xdr:colOff>
      <xdr:row>47</xdr:row>
      <xdr:rowOff>171450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590550</xdr:colOff>
      <xdr:row>16</xdr:row>
      <xdr:rowOff>95250</xdr:rowOff>
    </xdr:from>
    <xdr:to>
      <xdr:col>5</xdr:col>
      <xdr:colOff>504826</xdr:colOff>
      <xdr:row>31</xdr:row>
      <xdr:rowOff>123825</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785812</xdr:colOff>
      <xdr:row>16</xdr:row>
      <xdr:rowOff>114300</xdr:rowOff>
    </xdr:from>
    <xdr:to>
      <xdr:col>11</xdr:col>
      <xdr:colOff>0</xdr:colOff>
      <xdr:row>31</xdr:row>
      <xdr:rowOff>123825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781050</xdr:colOff>
      <xdr:row>32</xdr:row>
      <xdr:rowOff>171450</xdr:rowOff>
    </xdr:from>
    <xdr:to>
      <xdr:col>10</xdr:col>
      <xdr:colOff>881063</xdr:colOff>
      <xdr:row>48</xdr:row>
      <xdr:rowOff>0</xdr:rowOff>
    </xdr:to>
    <xdr:graphicFrame macro="">
      <xdr:nvGraphicFramePr>
        <xdr:cNvPr id="5" name="Chart 4">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Compliance-Builders-2018-W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reakeven"/>
      <sheetName val="Template"/>
      <sheetName val="Master"/>
      <sheetName val="11"/>
      <sheetName val="Sheet2"/>
      <sheetName val="Anglia Homes"/>
      <sheetName val="AV Homes"/>
      <sheetName val="BC School"/>
      <sheetName val="BC Brennan"/>
      <sheetName val="BH BackCountry"/>
      <sheetName val="BH NorthGlenn"/>
      <sheetName val="Boulder Creek"/>
      <sheetName val="Cave Buttes"/>
      <sheetName val="Cityside Homes"/>
      <sheetName val="CDL-Wonderland"/>
      <sheetName val="Century Communities"/>
      <sheetName val="City Ventures"/>
      <sheetName val="Cypress 600"/>
      <sheetName val="DCE DFH (Durbin)"/>
      <sheetName val="Devon Street"/>
      <sheetName val="DFH Clover"/>
      <sheetName val="DFH Eagle Landing"/>
      <sheetName val="Dream Finders"/>
      <sheetName val="EAH"/>
      <sheetName val="Elacora Madeira"/>
      <sheetName val="Elacora Plantation"/>
      <sheetName val="GreenBrick"/>
      <sheetName val="Greeneco Builders"/>
      <sheetName val="Griffin Farms"/>
      <sheetName val="H&amp;H Constructors"/>
      <sheetName val="HT Flatirons"/>
      <sheetName val="HM7 Hamlin"/>
      <sheetName val="HTX Land Development"/>
      <sheetName val="Infinity Homes"/>
      <sheetName val="J. Patrick Homes"/>
      <sheetName val="Jen Arizona 26"/>
      <sheetName val="KH Palmer"/>
      <sheetName val="Lexington 26"/>
      <sheetName val="LGI Homes"/>
      <sheetName val="Liberty"/>
      <sheetName val="Journey"/>
      <sheetName val="Parkside Land West"/>
      <sheetName val="Lokal Homes"/>
      <sheetName val="Meritage Homes"/>
      <sheetName val="MHI Partnership"/>
      <sheetName val="Quintessa Homes"/>
      <sheetName val="Oakwood Homes"/>
      <sheetName val="MREC-Candlelight"/>
      <sheetName val="Ravenna"/>
      <sheetName val="Richfield Homes"/>
      <sheetName val="Saguaro Florida"/>
      <sheetName val="Saratoga"/>
      <sheetName val="Shaddock Homes"/>
      <sheetName val="Sterling Ranch"/>
      <sheetName val="TH HW Newark"/>
      <sheetName val="Toll"/>
      <sheetName val="Urban Intown"/>
      <sheetName val="Venezia"/>
      <sheetName val="WJH"/>
      <sheetName val="Woodside Homes - P.O."/>
      <sheetName val="Yager- Kendall Lakes"/>
      <sheetName val="Yager- K Mill"/>
      <sheetName val="William Lyon"/>
      <sheetName val="Sample A&amp;D"/>
      <sheetName val="Peer Comparisons"/>
      <sheetName val="Peer Comparison Survey"/>
      <sheetName val="Peer Comparison Data"/>
      <sheetName val="Data"/>
      <sheetName val="Sheet1"/>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A40C22"/>
    <pageSetUpPr fitToPage="1"/>
  </sheetPr>
  <dimension ref="B2:AH132"/>
  <sheetViews>
    <sheetView showGridLines="0" tabSelected="1" view="pageBreakPreview" zoomScaleNormal="100" zoomScaleSheetLayoutView="100" workbookViewId="0">
      <selection activeCell="B100" sqref="B100:F103"/>
    </sheetView>
  </sheetViews>
  <sheetFormatPr defaultColWidth="9.1796875" defaultRowHeight="13" outlineLevelRow="1"/>
  <cols>
    <col min="1" max="1" width="2.54296875" style="4" customWidth="1"/>
    <col min="2" max="2" width="25.26953125" style="4" customWidth="1"/>
    <col min="3" max="6" width="12.453125" style="4" customWidth="1"/>
    <col min="7" max="7" width="2.81640625" style="4" customWidth="1"/>
    <col min="8" max="9" width="12.453125" style="4" customWidth="1"/>
    <col min="10" max="10" width="13.453125" style="4" customWidth="1"/>
    <col min="11" max="11" width="12.1796875" style="4" customWidth="1"/>
    <col min="12" max="12" width="2" style="4" customWidth="1"/>
    <col min="13" max="16" width="12.453125" style="4" customWidth="1"/>
    <col min="17" max="17" width="2.54296875" style="4" customWidth="1"/>
    <col min="18" max="18" width="5.54296875" style="4" customWidth="1"/>
    <col min="19" max="19" width="9.1796875" style="4"/>
    <col min="20" max="20" width="10.453125" style="4" customWidth="1"/>
    <col min="21" max="21" width="9.1796875" style="4"/>
    <col min="22" max="22" width="8.1796875" style="4" customWidth="1"/>
    <col min="23" max="33" width="9.1796875" style="4"/>
    <col min="34" max="34" width="15.453125" style="4" bestFit="1" customWidth="1"/>
    <col min="35" max="35" width="6" style="4" customWidth="1"/>
    <col min="36" max="36" width="7.54296875" style="4" customWidth="1"/>
    <col min="37" max="47" width="9.1796875" style="4"/>
    <col min="48" max="48" width="15.453125" style="4" bestFit="1" customWidth="1"/>
    <col min="49" max="49" width="8.453125" style="4" customWidth="1"/>
    <col min="50" max="50" width="9.81640625" style="4" customWidth="1"/>
    <col min="51" max="16384" width="9.1796875" style="4"/>
  </cols>
  <sheetData>
    <row r="2" spans="2:20" ht="15.75" customHeight="1" thickBot="1">
      <c r="B2" s="5" t="str">
        <f>C7&amp;" - Portfolio Dashboard"</f>
        <v>123 Fake Co - Portfolio Dashboard</v>
      </c>
      <c r="C2" s="5"/>
      <c r="D2" s="453"/>
      <c r="E2" s="453"/>
      <c r="F2" s="453" t="s">
        <v>0</v>
      </c>
      <c r="G2" s="5"/>
      <c r="H2" s="739" t="s">
        <v>1</v>
      </c>
      <c r="I2" s="739"/>
      <c r="J2" s="739"/>
      <c r="K2" s="176">
        <v>46112</v>
      </c>
      <c r="L2" s="5"/>
      <c r="M2" s="737" t="s">
        <v>2</v>
      </c>
      <c r="N2" s="737"/>
      <c r="O2" s="737"/>
      <c r="P2" s="177">
        <f>K2</f>
        <v>46112</v>
      </c>
      <c r="S2" s="738"/>
      <c r="T2" s="738"/>
    </row>
    <row r="3" spans="2:20" ht="6" customHeight="1"/>
    <row r="4" spans="2:20">
      <c r="B4" s="6" t="s">
        <v>3</v>
      </c>
      <c r="C4" s="7"/>
      <c r="D4" s="7"/>
      <c r="E4" s="7"/>
      <c r="F4" s="8"/>
      <c r="G4" s="9"/>
      <c r="H4" s="9"/>
      <c r="I4" s="9"/>
      <c r="J4" s="9"/>
      <c r="K4" s="9"/>
      <c r="L4" s="9"/>
      <c r="M4" s="9"/>
      <c r="N4" s="9"/>
      <c r="O4" s="9"/>
      <c r="P4" s="9"/>
    </row>
    <row r="5" spans="2:20" ht="13.5" customHeight="1">
      <c r="B5" s="297" t="s">
        <v>4</v>
      </c>
      <c r="C5" s="298" t="s">
        <v>441</v>
      </c>
      <c r="D5" s="299"/>
      <c r="E5" s="300" t="s">
        <v>5</v>
      </c>
      <c r="F5" s="542">
        <f ca="1">HLOOKUP(EOMONTH(TODAY(),-1),'Tracking &amp; Banking'!$C$8:$ZZ$12,4)</f>
        <v>0</v>
      </c>
      <c r="G5" s="9"/>
      <c r="H5" s="9"/>
      <c r="I5" s="9"/>
      <c r="J5" s="9"/>
      <c r="K5" s="9"/>
      <c r="L5" s="9"/>
      <c r="M5" s="9"/>
      <c r="N5" s="9"/>
      <c r="O5" s="9"/>
      <c r="P5" s="9"/>
    </row>
    <row r="6" spans="2:20" ht="13.5" customHeight="1">
      <c r="B6" s="33" t="s">
        <v>6</v>
      </c>
      <c r="C6" s="10" t="s">
        <v>442</v>
      </c>
      <c r="D6" s="11"/>
      <c r="E6" s="12" t="s">
        <v>7</v>
      </c>
      <c r="F6" s="13">
        <v>75000000</v>
      </c>
      <c r="G6" s="9"/>
      <c r="H6" s="9"/>
      <c r="I6" s="9"/>
      <c r="J6" s="9"/>
      <c r="K6" s="9"/>
      <c r="L6" s="9"/>
      <c r="M6" s="9"/>
      <c r="N6" s="9"/>
      <c r="O6" s="9"/>
      <c r="P6" s="9"/>
    </row>
    <row r="7" spans="2:20" ht="13.5" customHeight="1">
      <c r="B7" s="33" t="s">
        <v>8</v>
      </c>
      <c r="C7" s="10" t="s">
        <v>442</v>
      </c>
      <c r="D7" s="11"/>
      <c r="E7" s="12" t="s">
        <v>9</v>
      </c>
      <c r="F7" s="14">
        <f ca="1">INDEX('Tracking &amp; Banking'!$E$15:$ZZ$22,MATCH(Summary!$E$7,'Tracking &amp; Banking'!$E$15:$E$22,0),MATCH(EOMONTH(TODAY(),-1),'Tracking &amp; Banking'!$E$15:$ZZ$15,0))</f>
        <v>0</v>
      </c>
      <c r="G7" s="9"/>
      <c r="H7" s="9"/>
      <c r="I7" s="9"/>
      <c r="J7" s="9"/>
      <c r="K7" s="9"/>
      <c r="L7" s="9"/>
      <c r="M7" s="9"/>
      <c r="N7" s="9"/>
      <c r="O7" s="9"/>
      <c r="P7" s="9"/>
    </row>
    <row r="8" spans="2:20" ht="13.5" customHeight="1">
      <c r="B8" s="33" t="s">
        <v>10</v>
      </c>
      <c r="C8" s="667">
        <v>12345</v>
      </c>
      <c r="D8" s="11"/>
      <c r="E8" s="12" t="s">
        <v>11</v>
      </c>
      <c r="F8" s="15" t="s">
        <v>12</v>
      </c>
      <c r="G8" s="9"/>
      <c r="H8" s="9"/>
      <c r="I8" s="9"/>
      <c r="J8" s="9"/>
      <c r="K8" s="9"/>
      <c r="L8" s="9"/>
      <c r="M8" s="9"/>
      <c r="N8" s="9"/>
      <c r="O8" s="9"/>
      <c r="P8" s="9"/>
    </row>
    <row r="9" spans="2:20" ht="13.5" customHeight="1">
      <c r="B9" s="33" t="s">
        <v>13</v>
      </c>
      <c r="C9" s="10" t="s">
        <v>14</v>
      </c>
      <c r="D9" s="11"/>
      <c r="E9" s="31" t="s">
        <v>15</v>
      </c>
      <c r="F9" s="451">
        <v>2003</v>
      </c>
      <c r="G9" s="9"/>
      <c r="H9" s="9"/>
      <c r="I9" s="9"/>
      <c r="J9" s="9"/>
      <c r="K9" s="9"/>
      <c r="L9" s="9"/>
      <c r="M9" s="9"/>
      <c r="N9" s="9"/>
      <c r="O9" s="9"/>
      <c r="P9" s="9"/>
    </row>
    <row r="10" spans="2:20" ht="13.5" customHeight="1">
      <c r="B10" s="33" t="s">
        <v>16</v>
      </c>
      <c r="C10" s="673" t="s">
        <v>17</v>
      </c>
      <c r="D10" s="673"/>
      <c r="E10" s="673"/>
      <c r="F10" s="674"/>
      <c r="G10" s="9"/>
      <c r="H10" s="9"/>
      <c r="I10" s="9"/>
      <c r="J10" s="9"/>
      <c r="K10" s="9"/>
      <c r="L10" s="9"/>
      <c r="M10" s="9"/>
      <c r="N10" s="9"/>
      <c r="O10" s="9"/>
      <c r="P10" s="9"/>
    </row>
    <row r="11" spans="2:20" ht="13.5" customHeight="1">
      <c r="B11" s="33" t="s">
        <v>18</v>
      </c>
      <c r="C11" s="25" t="s">
        <v>19</v>
      </c>
      <c r="F11" s="32"/>
      <c r="G11" s="9"/>
      <c r="H11" s="9"/>
      <c r="I11" s="9"/>
      <c r="J11" s="9"/>
      <c r="K11" s="9"/>
      <c r="L11" s="9"/>
      <c r="M11" s="9"/>
      <c r="N11" s="9"/>
      <c r="O11" s="9"/>
      <c r="P11" s="9"/>
    </row>
    <row r="12" spans="2:20" ht="13.5" customHeight="1">
      <c r="B12" s="16" t="s">
        <v>20</v>
      </c>
      <c r="C12" s="17" t="s">
        <v>21</v>
      </c>
      <c r="D12" s="18"/>
      <c r="E12" s="19"/>
      <c r="F12" s="20"/>
      <c r="G12" s="9"/>
      <c r="H12" s="9"/>
      <c r="I12" s="9"/>
      <c r="J12" s="9"/>
      <c r="K12" s="9"/>
      <c r="L12" s="9"/>
      <c r="M12" s="9"/>
      <c r="N12" s="9"/>
      <c r="O12" s="9"/>
      <c r="P12" s="9"/>
    </row>
    <row r="13" spans="2:20" ht="8.25" customHeight="1">
      <c r="B13" s="9"/>
      <c r="C13" s="9"/>
      <c r="D13" s="9"/>
      <c r="E13" s="9"/>
      <c r="F13" s="9"/>
      <c r="G13" s="9"/>
      <c r="H13" s="9"/>
      <c r="I13" s="9"/>
      <c r="J13" s="9"/>
      <c r="K13" s="9"/>
      <c r="L13" s="9"/>
      <c r="M13" s="9"/>
      <c r="N13" s="9"/>
      <c r="O13" s="9"/>
      <c r="P13" s="9"/>
    </row>
    <row r="14" spans="2:20">
      <c r="B14" s="6" t="s">
        <v>22</v>
      </c>
      <c r="C14" s="7"/>
      <c r="D14" s="7"/>
      <c r="E14" s="8"/>
      <c r="F14" s="8"/>
      <c r="G14" s="9"/>
      <c r="H14" s="6" t="s">
        <v>23</v>
      </c>
      <c r="I14" s="21"/>
      <c r="J14" s="21"/>
      <c r="K14" s="22"/>
      <c r="L14" s="9"/>
      <c r="M14" s="6" t="s">
        <v>24</v>
      </c>
      <c r="N14" s="21"/>
      <c r="O14" s="21"/>
      <c r="P14" s="22"/>
    </row>
    <row r="15" spans="2:20" ht="13.5" customHeight="1">
      <c r="B15" s="297" t="s">
        <v>25</v>
      </c>
      <c r="C15" s="298" t="s">
        <v>26</v>
      </c>
      <c r="D15" s="305"/>
      <c r="E15" s="37" t="s">
        <v>27</v>
      </c>
      <c r="F15" s="301" t="s">
        <v>12</v>
      </c>
      <c r="G15" s="9"/>
      <c r="H15" s="610" t="s">
        <v>28</v>
      </c>
      <c r="I15" s="178"/>
      <c r="J15" s="773" t="s">
        <v>21</v>
      </c>
      <c r="K15" s="774"/>
      <c r="L15" s="9"/>
      <c r="M15" s="34" t="s">
        <v>29</v>
      </c>
      <c r="N15" s="178"/>
      <c r="O15" s="765" t="s">
        <v>21</v>
      </c>
      <c r="P15" s="766"/>
    </row>
    <row r="16" spans="2:20" ht="13.5" customHeight="1">
      <c r="B16" s="33" t="s">
        <v>30</v>
      </c>
      <c r="C16" s="23">
        <v>42501</v>
      </c>
      <c r="D16" s="11"/>
      <c r="E16" s="12" t="s">
        <v>31</v>
      </c>
      <c r="F16" s="24">
        <v>42516</v>
      </c>
      <c r="G16" s="9"/>
      <c r="H16" s="611" t="s">
        <v>32</v>
      </c>
      <c r="J16" s="767" t="s">
        <v>21</v>
      </c>
      <c r="K16" s="768"/>
      <c r="L16" s="9"/>
      <c r="M16" s="611" t="s">
        <v>33</v>
      </c>
      <c r="O16" s="763" t="s">
        <v>21</v>
      </c>
      <c r="P16" s="764"/>
    </row>
    <row r="17" spans="2:16" ht="13.5" customHeight="1">
      <c r="B17" s="33" t="s">
        <v>34</v>
      </c>
      <c r="C17" s="23">
        <v>47236</v>
      </c>
      <c r="D17" s="11"/>
      <c r="E17" s="12" t="s">
        <v>35</v>
      </c>
      <c r="F17" s="24">
        <v>47236</v>
      </c>
      <c r="G17" s="9"/>
      <c r="H17" s="611" t="s">
        <v>36</v>
      </c>
      <c r="J17" s="767" t="s">
        <v>21</v>
      </c>
      <c r="K17" s="768"/>
      <c r="L17" s="9"/>
      <c r="M17" s="611" t="s">
        <v>37</v>
      </c>
      <c r="O17" s="713" t="s">
        <v>21</v>
      </c>
      <c r="P17" s="714"/>
    </row>
    <row r="18" spans="2:16" ht="13.5" customHeight="1">
      <c r="B18" s="29" t="s">
        <v>38</v>
      </c>
      <c r="C18" s="30">
        <f ca="1">_xlfn.DAYS($C$17,$F$27)</f>
        <v>981</v>
      </c>
      <c r="E18" s="31" t="s">
        <v>39</v>
      </c>
      <c r="F18" s="49">
        <f ca="1">_xlfn.DAYS($F$17,$F$27)</f>
        <v>981</v>
      </c>
      <c r="G18" s="9"/>
      <c r="H18" s="611" t="s">
        <v>40</v>
      </c>
      <c r="J18" s="769" t="s">
        <v>21</v>
      </c>
      <c r="K18" s="770"/>
      <c r="L18" s="9"/>
      <c r="M18" s="611" t="s">
        <v>41</v>
      </c>
      <c r="O18" s="715" t="str">
        <f>IF(O17="NA","-",IF(O16="NA",O17/O15,O17/O16))</f>
        <v>-</v>
      </c>
      <c r="P18" s="716"/>
    </row>
    <row r="19" spans="2:16" ht="13.5" customHeight="1">
      <c r="B19" s="33" t="s">
        <v>42</v>
      </c>
      <c r="C19" s="25">
        <v>75000000</v>
      </c>
      <c r="D19" s="11"/>
      <c r="E19" s="12" t="s">
        <v>43</v>
      </c>
      <c r="F19" s="13" t="s">
        <v>21</v>
      </c>
      <c r="G19" s="9"/>
      <c r="H19" s="611" t="s">
        <v>44</v>
      </c>
      <c r="I19" s="26"/>
      <c r="J19" s="769" t="s">
        <v>21</v>
      </c>
      <c r="K19" s="770"/>
      <c r="L19" s="9"/>
      <c r="M19" s="611" t="s">
        <v>45</v>
      </c>
      <c r="O19" s="715" t="str">
        <f>IF(OR(O17="NA",O17="-"),"-",INDEX(Inventory!$B$52:$ZZ$55,MATCH($M$19,Inventory!$B$52:$B$55,0),MATCH(Summary!$P$2,Inventory!$B$52:$ZZ$52,0)))</f>
        <v>-</v>
      </c>
      <c r="P19" s="716"/>
    </row>
    <row r="20" spans="2:16" ht="13.5" customHeight="1">
      <c r="B20" s="33" t="s">
        <v>46</v>
      </c>
      <c r="C20" s="292" t="s">
        <v>47</v>
      </c>
      <c r="D20" s="11"/>
      <c r="E20" s="12" t="s">
        <v>48</v>
      </c>
      <c r="F20" s="326" t="s">
        <v>49</v>
      </c>
      <c r="G20" s="9"/>
      <c r="H20" s="27" t="s">
        <v>50</v>
      </c>
      <c r="I20" s="28"/>
      <c r="J20" s="771" t="str">
        <f>IF(OR(J15="NA",J15=""),"NA",INDEX(Inventory!$B$45:$ZZ$49,MATCH(H20,Inventory!$B$45:$B$49,0),MATCH(Summary!P2,Inventory!$B$45:$ZZ$45,0)))</f>
        <v>NA</v>
      </c>
      <c r="K20" s="772"/>
      <c r="L20" s="9"/>
      <c r="M20" s="27" t="s">
        <v>51</v>
      </c>
      <c r="N20" s="28"/>
      <c r="O20" s="758" t="str">
        <f>IF(OR(O17="NA",O17="-"),"-",O18-O19)</f>
        <v>-</v>
      </c>
      <c r="P20" s="759"/>
    </row>
    <row r="21" spans="2:16" ht="13.5" customHeight="1">
      <c r="B21" s="306" t="s">
        <v>52</v>
      </c>
      <c r="C21" s="10" t="s">
        <v>53</v>
      </c>
      <c r="D21" s="11"/>
      <c r="E21" s="12" t="s">
        <v>54</v>
      </c>
      <c r="F21" s="510">
        <v>6.25E-2</v>
      </c>
      <c r="G21" s="9"/>
      <c r="H21" s="9"/>
      <c r="I21" s="9"/>
      <c r="J21" s="9"/>
      <c r="K21" s="9"/>
      <c r="L21" s="9"/>
      <c r="M21" s="9"/>
      <c r="N21" s="9"/>
      <c r="O21" s="9"/>
      <c r="P21" s="9"/>
    </row>
    <row r="22" spans="2:16" ht="13.5" customHeight="1">
      <c r="B22" s="33" t="s">
        <v>55</v>
      </c>
      <c r="C22" s="10" t="s">
        <v>14</v>
      </c>
      <c r="F22" s="32"/>
      <c r="G22" s="9"/>
      <c r="H22" s="6" t="s">
        <v>56</v>
      </c>
      <c r="I22" s="21"/>
      <c r="J22" s="21"/>
      <c r="K22" s="22"/>
      <c r="L22" s="9"/>
      <c r="M22" s="6" t="s">
        <v>57</v>
      </c>
      <c r="N22" s="21"/>
      <c r="O22" s="21"/>
      <c r="P22" s="22"/>
    </row>
    <row r="23" spans="2:16" ht="13.5" customHeight="1">
      <c r="B23" s="33" t="s">
        <v>58</v>
      </c>
      <c r="C23" s="10" t="s">
        <v>59</v>
      </c>
      <c r="D23" s="302"/>
      <c r="E23" s="302"/>
      <c r="F23" s="303"/>
      <c r="G23" s="9"/>
      <c r="H23" s="34" t="s">
        <v>60</v>
      </c>
      <c r="I23" s="35"/>
      <c r="J23" s="724" t="s">
        <v>21</v>
      </c>
      <c r="K23" s="725"/>
      <c r="L23" s="9"/>
      <c r="M23" s="34" t="s">
        <v>61</v>
      </c>
      <c r="N23" s="36" t="s">
        <v>21</v>
      </c>
      <c r="O23" s="37" t="s">
        <v>62</v>
      </c>
      <c r="P23" s="612" t="str">
        <f>IF(OR(N23="",N24="NA"),"-",N23-N24)</f>
        <v>-</v>
      </c>
    </row>
    <row r="24" spans="2:16" ht="13.5" customHeight="1">
      <c r="B24" s="16" t="s">
        <v>63</v>
      </c>
      <c r="C24" s="307" t="s">
        <v>64</v>
      </c>
      <c r="D24" s="304"/>
      <c r="E24" s="28"/>
      <c r="F24" s="80"/>
      <c r="G24" s="9"/>
      <c r="H24" s="27" t="s">
        <v>65</v>
      </c>
      <c r="I24" s="38"/>
      <c r="J24" s="675" t="s">
        <v>21</v>
      </c>
      <c r="K24" s="676"/>
      <c r="L24" s="9"/>
      <c r="M24" s="27" t="s">
        <v>66</v>
      </c>
      <c r="N24" s="39" t="s">
        <v>21</v>
      </c>
      <c r="O24" s="254" t="s">
        <v>67</v>
      </c>
      <c r="P24" s="255" t="str">
        <f>IF(OR(N23="",N24="NA"),"-",P23/N23)</f>
        <v>-</v>
      </c>
    </row>
    <row r="25" spans="2:16" ht="8.25" customHeight="1">
      <c r="B25" s="9"/>
      <c r="C25" s="9"/>
      <c r="D25" s="9"/>
      <c r="E25" s="9"/>
      <c r="F25" s="9"/>
      <c r="G25" s="9"/>
      <c r="H25" s="9"/>
      <c r="I25" s="9"/>
      <c r="J25" s="9"/>
      <c r="K25" s="9"/>
      <c r="L25" s="9"/>
      <c r="M25" s="9"/>
      <c r="N25" s="9"/>
      <c r="O25" s="9"/>
      <c r="P25" s="9"/>
    </row>
    <row r="26" spans="2:16">
      <c r="B26" s="760" t="s">
        <v>68</v>
      </c>
      <c r="C26" s="761"/>
      <c r="D26" s="761"/>
      <c r="E26" s="761"/>
      <c r="F26" s="762"/>
      <c r="G26" s="9"/>
      <c r="H26" s="717" t="s">
        <v>69</v>
      </c>
      <c r="I26" s="718"/>
      <c r="J26" s="718"/>
      <c r="K26" s="718"/>
      <c r="L26" s="718"/>
      <c r="M26" s="718"/>
      <c r="N26" s="718"/>
      <c r="O26" s="718"/>
      <c r="P26" s="719"/>
    </row>
    <row r="27" spans="2:16" ht="13.5" customHeight="1">
      <c r="B27" s="256" t="s">
        <v>70</v>
      </c>
      <c r="C27" s="613" t="str">
        <f>IF(OR(Summary!C15="Revolving SPE A&amp;D",Summary!C15="SPE A&amp;D",Summary!C15="Non-Revolving SPE A&amp;D",Summary!C15="Nonrevolving SPE A&amp;D"),"SPE A&amp;D",IF('Heat Map'!F12="x","Top",IF('Heat Map'!H12="x","I",IF('Heat Map'!J12="x","II",IF('Heat Map'!L12="x","III")))))</f>
        <v>Top</v>
      </c>
      <c r="D27" s="37" t="s">
        <v>71</v>
      </c>
      <c r="E27" s="37"/>
      <c r="F27" s="614">
        <f ca="1">TODAY()</f>
        <v>46255</v>
      </c>
      <c r="G27" s="9"/>
      <c r="H27" s="40" t="s">
        <v>72</v>
      </c>
      <c r="I27" s="41" t="s">
        <v>73</v>
      </c>
      <c r="J27" s="41" t="s">
        <v>74</v>
      </c>
      <c r="K27" s="681" t="s">
        <v>75</v>
      </c>
      <c r="L27" s="682"/>
      <c r="M27" s="41" t="s">
        <v>76</v>
      </c>
      <c r="N27" s="41" t="s">
        <v>77</v>
      </c>
      <c r="O27" s="668" t="s">
        <v>78</v>
      </c>
      <c r="P27" s="42" t="s">
        <v>77</v>
      </c>
    </row>
    <row r="28" spans="2:16" ht="14.25" customHeight="1">
      <c r="B28" s="29" t="s">
        <v>79</v>
      </c>
      <c r="C28" s="43" t="s">
        <v>80</v>
      </c>
      <c r="D28" s="31" t="s">
        <v>81</v>
      </c>
      <c r="E28" s="31"/>
      <c r="F28" s="44" t="s">
        <v>82</v>
      </c>
      <c r="G28" s="9"/>
      <c r="H28" s="548" t="s">
        <v>83</v>
      </c>
      <c r="I28" s="45" t="s">
        <v>21</v>
      </c>
      <c r="J28" s="45">
        <v>0.5</v>
      </c>
      <c r="K28" s="683" t="s">
        <v>84</v>
      </c>
      <c r="L28" s="684"/>
      <c r="M28" s="639" t="s">
        <v>21</v>
      </c>
      <c r="N28" s="641" t="s">
        <v>85</v>
      </c>
      <c r="O28" s="639" t="s">
        <v>21</v>
      </c>
      <c r="P28" s="639" t="s">
        <v>21</v>
      </c>
    </row>
    <row r="29" spans="2:16" ht="13.5" customHeight="1">
      <c r="B29" s="29" t="s">
        <v>86</v>
      </c>
      <c r="C29" s="43" t="s">
        <v>80</v>
      </c>
      <c r="D29" s="31" t="s">
        <v>87</v>
      </c>
      <c r="F29" s="46">
        <v>46196</v>
      </c>
      <c r="G29" s="9"/>
      <c r="H29" s="418" t="s">
        <v>88</v>
      </c>
      <c r="I29" s="47" t="s">
        <v>21</v>
      </c>
      <c r="J29" s="47">
        <v>0.65</v>
      </c>
      <c r="K29" s="679" t="s">
        <v>89</v>
      </c>
      <c r="L29" s="680"/>
      <c r="M29" s="639" t="s">
        <v>21</v>
      </c>
      <c r="N29" s="639" t="s">
        <v>21</v>
      </c>
      <c r="O29" s="639" t="s">
        <v>21</v>
      </c>
      <c r="P29" s="48" t="s">
        <v>21</v>
      </c>
    </row>
    <row r="30" spans="2:16" ht="13.5" customHeight="1">
      <c r="B30" s="29" t="s">
        <v>90</v>
      </c>
      <c r="C30" s="43" t="s">
        <v>21</v>
      </c>
      <c r="D30" s="31"/>
      <c r="F30" s="49"/>
      <c r="G30" s="9"/>
      <c r="H30" s="418" t="s">
        <v>91</v>
      </c>
      <c r="I30" s="47" t="s">
        <v>21</v>
      </c>
      <c r="J30" s="47">
        <v>0.7</v>
      </c>
      <c r="K30" s="679" t="s">
        <v>92</v>
      </c>
      <c r="L30" s="680"/>
      <c r="M30" s="639" t="s">
        <v>93</v>
      </c>
      <c r="N30" s="642" t="s">
        <v>21</v>
      </c>
      <c r="O30" s="639" t="s">
        <v>21</v>
      </c>
      <c r="P30" s="48" t="s">
        <v>21</v>
      </c>
    </row>
    <row r="31" spans="2:16" ht="24.75" customHeight="1">
      <c r="B31" s="749" t="s">
        <v>94</v>
      </c>
      <c r="C31" s="750"/>
      <c r="D31" s="750"/>
      <c r="E31" s="750"/>
      <c r="F31" s="751"/>
      <c r="G31" s="9"/>
      <c r="H31" s="418" t="s">
        <v>95</v>
      </c>
      <c r="I31" s="47" t="s">
        <v>21</v>
      </c>
      <c r="J31" s="47">
        <v>0.8</v>
      </c>
      <c r="K31" s="679" t="s">
        <v>96</v>
      </c>
      <c r="L31" s="680"/>
      <c r="M31" s="639" t="s">
        <v>93</v>
      </c>
      <c r="N31" s="643" t="s">
        <v>97</v>
      </c>
      <c r="O31" s="48" t="s">
        <v>21</v>
      </c>
      <c r="P31" s="48" t="s">
        <v>21</v>
      </c>
    </row>
    <row r="32" spans="2:16" ht="13.5" customHeight="1">
      <c r="B32" s="752"/>
      <c r="C32" s="753"/>
      <c r="D32" s="753"/>
      <c r="E32" s="753"/>
      <c r="F32" s="754"/>
      <c r="G32" s="9"/>
      <c r="H32" s="418" t="s">
        <v>98</v>
      </c>
      <c r="I32" s="47" t="s">
        <v>21</v>
      </c>
      <c r="J32" s="47">
        <v>0.8</v>
      </c>
      <c r="K32" s="679" t="s">
        <v>92</v>
      </c>
      <c r="L32" s="680"/>
      <c r="M32" s="639" t="s">
        <v>21</v>
      </c>
      <c r="N32" s="48" t="s">
        <v>99</v>
      </c>
      <c r="O32" s="639" t="s">
        <v>21</v>
      </c>
      <c r="P32" s="48" t="s">
        <v>21</v>
      </c>
    </row>
    <row r="33" spans="2:16" ht="13.5" customHeight="1">
      <c r="B33" s="755"/>
      <c r="C33" s="756"/>
      <c r="D33" s="756"/>
      <c r="E33" s="756"/>
      <c r="F33" s="757"/>
      <c r="G33" s="9"/>
      <c r="H33" s="418" t="s">
        <v>100</v>
      </c>
      <c r="I33" s="47" t="s">
        <v>21</v>
      </c>
      <c r="J33" s="47">
        <v>0.9</v>
      </c>
      <c r="K33" s="679" t="s">
        <v>21</v>
      </c>
      <c r="L33" s="680"/>
      <c r="M33" s="639" t="s">
        <v>21</v>
      </c>
      <c r="N33" s="48" t="s">
        <v>21</v>
      </c>
      <c r="O33" s="639" t="s">
        <v>21</v>
      </c>
      <c r="P33" s="48" t="s">
        <v>21</v>
      </c>
    </row>
    <row r="34" spans="2:16" ht="8.25" customHeight="1">
      <c r="B34" s="9"/>
      <c r="C34" s="9"/>
      <c r="D34" s="9"/>
      <c r="E34" s="9"/>
      <c r="F34" s="9"/>
      <c r="G34" s="9"/>
      <c r="H34" s="9"/>
      <c r="I34" s="9"/>
      <c r="J34" s="9"/>
      <c r="K34" s="9"/>
      <c r="L34" s="9"/>
      <c r="M34" s="9"/>
      <c r="N34" s="9"/>
      <c r="O34" s="9"/>
      <c r="P34" s="9"/>
    </row>
    <row r="35" spans="2:16" ht="12.75" customHeight="1">
      <c r="B35" s="740" t="s">
        <v>443</v>
      </c>
      <c r="C35" s="741"/>
      <c r="D35" s="741"/>
      <c r="E35" s="741"/>
      <c r="F35" s="741"/>
      <c r="G35" s="741"/>
      <c r="H35" s="741"/>
      <c r="I35" s="741"/>
      <c r="J35" s="741"/>
      <c r="K35" s="741"/>
      <c r="L35" s="741"/>
      <c r="M35" s="741"/>
      <c r="N35" s="741"/>
      <c r="O35" s="741"/>
      <c r="P35" s="742"/>
    </row>
    <row r="36" spans="2:16" ht="12.75" customHeight="1">
      <c r="B36" s="743"/>
      <c r="C36" s="744"/>
      <c r="D36" s="744"/>
      <c r="E36" s="744"/>
      <c r="F36" s="744"/>
      <c r="G36" s="744"/>
      <c r="H36" s="744"/>
      <c r="I36" s="744"/>
      <c r="J36" s="744"/>
      <c r="K36" s="744"/>
      <c r="L36" s="744"/>
      <c r="M36" s="744"/>
      <c r="N36" s="744"/>
      <c r="O36" s="744"/>
      <c r="P36" s="745"/>
    </row>
    <row r="37" spans="2:16" ht="12.75" customHeight="1">
      <c r="B37" s="743"/>
      <c r="C37" s="744"/>
      <c r="D37" s="744"/>
      <c r="E37" s="744"/>
      <c r="F37" s="744"/>
      <c r="G37" s="744"/>
      <c r="H37" s="744"/>
      <c r="I37" s="744"/>
      <c r="J37" s="744"/>
      <c r="K37" s="744"/>
      <c r="L37" s="744"/>
      <c r="M37" s="744"/>
      <c r="N37" s="744"/>
      <c r="O37" s="744"/>
      <c r="P37" s="745"/>
    </row>
    <row r="38" spans="2:16" ht="12.75" customHeight="1">
      <c r="B38" s="743"/>
      <c r="C38" s="744"/>
      <c r="D38" s="744"/>
      <c r="E38" s="744"/>
      <c r="F38" s="744"/>
      <c r="G38" s="744"/>
      <c r="H38" s="744"/>
      <c r="I38" s="744"/>
      <c r="J38" s="744"/>
      <c r="K38" s="744"/>
      <c r="L38" s="744"/>
      <c r="M38" s="744"/>
      <c r="N38" s="744"/>
      <c r="O38" s="744"/>
      <c r="P38" s="745"/>
    </row>
    <row r="39" spans="2:16" ht="12.75" customHeight="1">
      <c r="B39" s="743"/>
      <c r="C39" s="744"/>
      <c r="D39" s="744"/>
      <c r="E39" s="744"/>
      <c r="F39" s="744"/>
      <c r="G39" s="744"/>
      <c r="H39" s="744"/>
      <c r="I39" s="744"/>
      <c r="J39" s="744"/>
      <c r="K39" s="744"/>
      <c r="L39" s="744"/>
      <c r="M39" s="744"/>
      <c r="N39" s="744"/>
      <c r="O39" s="744"/>
      <c r="P39" s="745"/>
    </row>
    <row r="40" spans="2:16" ht="12.75" customHeight="1">
      <c r="B40" s="743"/>
      <c r="C40" s="744"/>
      <c r="D40" s="744"/>
      <c r="E40" s="744"/>
      <c r="F40" s="744"/>
      <c r="G40" s="744"/>
      <c r="H40" s="744"/>
      <c r="I40" s="744"/>
      <c r="J40" s="744"/>
      <c r="K40" s="744"/>
      <c r="L40" s="744"/>
      <c r="M40" s="744"/>
      <c r="N40" s="744"/>
      <c r="O40" s="744"/>
      <c r="P40" s="745"/>
    </row>
    <row r="41" spans="2:16" ht="12.75" customHeight="1">
      <c r="B41" s="743"/>
      <c r="C41" s="744"/>
      <c r="D41" s="744"/>
      <c r="E41" s="744"/>
      <c r="F41" s="744"/>
      <c r="G41" s="744"/>
      <c r="H41" s="744"/>
      <c r="I41" s="744"/>
      <c r="J41" s="744"/>
      <c r="K41" s="744"/>
      <c r="L41" s="744"/>
      <c r="M41" s="744"/>
      <c r="N41" s="744"/>
      <c r="O41" s="744"/>
      <c r="P41" s="745"/>
    </row>
    <row r="42" spans="2:16" ht="12.75" customHeight="1">
      <c r="B42" s="743"/>
      <c r="C42" s="744"/>
      <c r="D42" s="744"/>
      <c r="E42" s="744"/>
      <c r="F42" s="744"/>
      <c r="G42" s="744"/>
      <c r="H42" s="744"/>
      <c r="I42" s="744"/>
      <c r="J42" s="744"/>
      <c r="K42" s="744"/>
      <c r="L42" s="744"/>
      <c r="M42" s="744"/>
      <c r="N42" s="744"/>
      <c r="O42" s="744"/>
      <c r="P42" s="745"/>
    </row>
    <row r="43" spans="2:16" ht="12.75" customHeight="1">
      <c r="B43" s="743"/>
      <c r="C43" s="744"/>
      <c r="D43" s="744"/>
      <c r="E43" s="744"/>
      <c r="F43" s="744"/>
      <c r="G43" s="744"/>
      <c r="H43" s="744"/>
      <c r="I43" s="744"/>
      <c r="J43" s="744"/>
      <c r="K43" s="744"/>
      <c r="L43" s="744"/>
      <c r="M43" s="744"/>
      <c r="N43" s="744"/>
      <c r="O43" s="744"/>
      <c r="P43" s="745"/>
    </row>
    <row r="44" spans="2:16" ht="12.75" customHeight="1">
      <c r="B44" s="743"/>
      <c r="C44" s="744"/>
      <c r="D44" s="744"/>
      <c r="E44" s="744"/>
      <c r="F44" s="744"/>
      <c r="G44" s="744"/>
      <c r="H44" s="744"/>
      <c r="I44" s="744"/>
      <c r="J44" s="744"/>
      <c r="K44" s="744"/>
      <c r="L44" s="744"/>
      <c r="M44" s="744"/>
      <c r="N44" s="744"/>
      <c r="O44" s="744"/>
      <c r="P44" s="745"/>
    </row>
    <row r="45" spans="2:16" ht="12.75" customHeight="1">
      <c r="B45" s="743"/>
      <c r="C45" s="744"/>
      <c r="D45" s="744"/>
      <c r="E45" s="744"/>
      <c r="F45" s="744"/>
      <c r="G45" s="744"/>
      <c r="H45" s="744"/>
      <c r="I45" s="744"/>
      <c r="J45" s="744"/>
      <c r="K45" s="744"/>
      <c r="L45" s="744"/>
      <c r="M45" s="744"/>
      <c r="N45" s="744"/>
      <c r="O45" s="744"/>
      <c r="P45" s="745"/>
    </row>
    <row r="46" spans="2:16" ht="12.75" hidden="1" customHeight="1">
      <c r="B46" s="743"/>
      <c r="C46" s="744"/>
      <c r="D46" s="744"/>
      <c r="E46" s="744"/>
      <c r="F46" s="744"/>
      <c r="G46" s="744"/>
      <c r="H46" s="744"/>
      <c r="I46" s="744"/>
      <c r="J46" s="744"/>
      <c r="K46" s="744"/>
      <c r="L46" s="744"/>
      <c r="M46" s="744"/>
      <c r="N46" s="744"/>
      <c r="O46" s="744"/>
      <c r="P46" s="745"/>
    </row>
    <row r="47" spans="2:16" ht="12.75" customHeight="1">
      <c r="B47" s="746"/>
      <c r="C47" s="747"/>
      <c r="D47" s="747"/>
      <c r="E47" s="747"/>
      <c r="F47" s="747"/>
      <c r="G47" s="747"/>
      <c r="H47" s="747"/>
      <c r="I47" s="747"/>
      <c r="J47" s="747"/>
      <c r="K47" s="747"/>
      <c r="L47" s="747"/>
      <c r="M47" s="747"/>
      <c r="N47" s="747"/>
      <c r="O47" s="747"/>
      <c r="P47" s="748"/>
    </row>
    <row r="48" spans="2:16" ht="6" customHeight="1"/>
    <row r="49" spans="2:34">
      <c r="B49" s="685" t="s">
        <v>101</v>
      </c>
      <c r="C49" s="686"/>
      <c r="D49" s="686"/>
      <c r="E49" s="686"/>
      <c r="F49" s="686"/>
      <c r="G49" s="686"/>
      <c r="H49" s="686"/>
      <c r="I49" s="686"/>
      <c r="J49" s="686"/>
      <c r="K49" s="686"/>
      <c r="L49" s="686"/>
      <c r="M49" s="686"/>
      <c r="N49" s="686"/>
      <c r="O49" s="686"/>
      <c r="P49" s="687"/>
    </row>
    <row r="50" spans="2:34" ht="4.5" customHeight="1"/>
    <row r="51" spans="2:34">
      <c r="B51" s="700" t="s">
        <v>102</v>
      </c>
      <c r="C51" s="701"/>
      <c r="D51" s="701"/>
      <c r="E51" s="701"/>
      <c r="F51" s="701"/>
      <c r="G51" s="701"/>
      <c r="H51" s="701"/>
      <c r="I51" s="702"/>
      <c r="J51" s="91"/>
    </row>
    <row r="52" spans="2:34">
      <c r="B52" s="208" t="s">
        <v>72</v>
      </c>
      <c r="C52" s="209" t="s">
        <v>103</v>
      </c>
      <c r="D52" s="210" t="s">
        <v>104</v>
      </c>
      <c r="E52" s="281" t="s">
        <v>105</v>
      </c>
      <c r="F52" s="210" t="s">
        <v>106</v>
      </c>
      <c r="G52" s="700" t="s">
        <v>107</v>
      </c>
      <c r="H52" s="702"/>
      <c r="I52" s="210" t="s">
        <v>108</v>
      </c>
    </row>
    <row r="53" spans="2:34">
      <c r="B53" s="159" t="str">
        <f>'Tracking &amp; Banking'!C26</f>
        <v>FYE Audited Statements (10K)</v>
      </c>
      <c r="C53" s="555" t="str">
        <f>'Tracking &amp; Banking'!D26</f>
        <v>Annually</v>
      </c>
      <c r="D53" s="284">
        <f>'Tracking &amp; Banking'!E26</f>
        <v>90</v>
      </c>
      <c r="E53" s="52">
        <f>_xlfn.IFNA(LOOKUP(MAX('Tracking &amp; Banking'!$F26:$ZZ26),'Tracking &amp; Banking'!$F26:$ZZ26,'Tracking &amp; Banking'!$F$25:$ZZ$25),"n/a")</f>
        <v>46022</v>
      </c>
      <c r="F53" s="278">
        <f>IF(C53="Annually",EOMONTH(E53,12),IF(C53="Quarterly",EOMONTH(E53,3),IF(C53="Monthly",EOMONTH(E53,1),"Check Dates")))</f>
        <v>46387</v>
      </c>
      <c r="G53" s="720" t="str">
        <f>INDEX('Tracking &amp; Banking'!$C$25:$ZZ$32,MATCH(Summary!$B53,'Tracking &amp; Banking'!$C$25:$C$32,0),MATCH($F53,'Tracking &amp; Banking'!$C$25:$ZZ$25,0))</f>
        <v>DUE 3/31/27</v>
      </c>
      <c r="H53" s="721"/>
      <c r="I53" s="316">
        <f ca="1">IFERROR(IF(AND(G53="DUE "&amp;TEXT(($F53+D53),"m/dd/yy"),$F53+D53&gt;=TODAY()),($F53+D53)-TODAY(),IF($F53+D53&lt;TODAY(),"PAST DUE","check formula")),"-")</f>
        <v>222</v>
      </c>
    </row>
    <row r="54" spans="2:34">
      <c r="B54" s="2" t="str">
        <f>'Tracking &amp; Banking'!C27</f>
        <v>Interim Statements (10Q)</v>
      </c>
      <c r="C54" s="556" t="str">
        <f>'Tracking &amp; Banking'!D27</f>
        <v>Quarterly</v>
      </c>
      <c r="D54" s="286">
        <f>'Tracking &amp; Banking'!E27</f>
        <v>45</v>
      </c>
      <c r="E54" s="276">
        <f>_xlfn.IFNA(LOOKUP(MAX('Tracking &amp; Banking'!$F27:$ZZ27),'Tracking &amp; Banking'!$F27:$ZZ27,'Tracking &amp; Banking'!$F$25:$ZZ$25),"n/a")</f>
        <v>46112</v>
      </c>
      <c r="F54" s="279">
        <f t="shared" ref="F54:F57" si="0">IF(C54="Annually",EOMONTH(E54,12),IF(C54="Quarterly",EOMONTH(E54,3),IF(C54="Monthly",EOMONTH(E54,1),"Check Dates")))</f>
        <v>46203</v>
      </c>
      <c r="G54" s="728" t="str">
        <f>INDEX('Tracking &amp; Banking'!$C$25:$ZZ$32,MATCH(Summary!$B54,'Tracking &amp; Banking'!$C$25:$C$32,0),MATCH($F54,'Tracking &amp; Banking'!$C$25:$ZZ$25,0))</f>
        <v>DUE 8/14/26</v>
      </c>
      <c r="H54" s="729"/>
      <c r="I54" s="315" t="str">
        <f t="shared" ref="I54:I57" ca="1" si="1">IFERROR(IF(AND(G54="DUE "&amp;TEXT(($F54+D54),"m/dd/yy"),$F54+D54&gt;=TODAY()),($F54+D54)-TODAY(),IF($F54+D54&lt;TODAY(),"PAST DUE","check formula")),"-")</f>
        <v>PAST DUE</v>
      </c>
    </row>
    <row r="55" spans="2:34">
      <c r="B55" s="557" t="str">
        <f>'Tracking &amp; Banking'!C28</f>
        <v>Compliance Certificate</v>
      </c>
      <c r="C55" s="285" t="str">
        <f>'Tracking &amp; Banking'!D28</f>
        <v>Quarterly</v>
      </c>
      <c r="D55" s="554">
        <f>'Tracking &amp; Banking'!E28</f>
        <v>45</v>
      </c>
      <c r="E55" s="276">
        <f>_xlfn.IFNA(LOOKUP(MAX('Tracking &amp; Banking'!$F28:$ZZ28),'Tracking &amp; Banking'!$F28:$ZZ28,'Tracking &amp; Banking'!$F$25:$ZZ$25),"n/a")</f>
        <v>46112</v>
      </c>
      <c r="F55" s="279">
        <f t="shared" si="0"/>
        <v>46203</v>
      </c>
      <c r="G55" s="728" t="str">
        <f>INDEX('Tracking &amp; Banking'!$C$25:$ZZ$32,MATCH(Summary!$B55,'Tracking &amp; Banking'!$C$25:$C$32,0),MATCH($F55,'Tracking &amp; Banking'!$C$25:$ZZ$25,0))</f>
        <v>DUE 8/14/26</v>
      </c>
      <c r="H55" s="729"/>
      <c r="I55" s="315" t="str">
        <f t="shared" ca="1" si="1"/>
        <v>PAST DUE</v>
      </c>
    </row>
    <row r="56" spans="2:34">
      <c r="B56" s="557" t="str">
        <f>'Tracking &amp; Banking'!C29</f>
        <v>BB Report</v>
      </c>
      <c r="C56" s="285" t="str">
        <f>'Tracking &amp; Banking'!D29</f>
        <v>Monthly</v>
      </c>
      <c r="D56" s="554">
        <f>'Tracking &amp; Banking'!E29</f>
        <v>30</v>
      </c>
      <c r="E56" s="276">
        <f>_xlfn.IFNA(LOOKUP(MAX('Tracking &amp; Banking'!$F29:$ZZ29),'Tracking &amp; Banking'!$F29:$ZZ29,'Tracking &amp; Banking'!$F$25:$ZZ$25),"n/a")</f>
        <v>46142</v>
      </c>
      <c r="F56" s="279">
        <f t="shared" si="0"/>
        <v>46173</v>
      </c>
      <c r="G56" s="728" t="str">
        <f>INDEX('Tracking &amp; Banking'!$C$25:$ZZ$32,MATCH(Summary!$B56,'Tracking &amp; Banking'!$C$25:$C$32,0),MATCH($F56,'Tracking &amp; Banking'!$C$25:$ZZ$25,0))</f>
        <v>DUE 6/30/26</v>
      </c>
      <c r="H56" s="729"/>
      <c r="I56" s="315" t="str">
        <f t="shared" ca="1" si="1"/>
        <v>PAST DUE</v>
      </c>
    </row>
    <row r="57" spans="2:34">
      <c r="B57" s="3" t="str">
        <f>'Tracking &amp; Banking'!C30</f>
        <v>Projections</v>
      </c>
      <c r="C57" s="558" t="str">
        <f>'Tracking &amp; Banking'!D30</f>
        <v>Annually</v>
      </c>
      <c r="D57" s="288">
        <f>'Tracking &amp; Banking'!E30</f>
        <v>-60</v>
      </c>
      <c r="E57" s="277">
        <f>_xlfn.IFNA(LOOKUP(MAX('Tracking &amp; Banking'!$F30:$ZZ30),'Tracking &amp; Banking'!$F30:$ZZ30,'Tracking &amp; Banking'!$F$25:$ZZ$25),"n/a")</f>
        <v>46022</v>
      </c>
      <c r="F57" s="280">
        <f t="shared" si="0"/>
        <v>46387</v>
      </c>
      <c r="G57" s="722" t="str">
        <f>INDEX('Tracking &amp; Banking'!$C$25:$ZZ$32,MATCH(Summary!$B57,'Tracking &amp; Banking'!$C$25:$C$32,0),MATCH($F57,'Tracking &amp; Banking'!$C$25:$ZZ$25,0))</f>
        <v>DUE 11/01/26</v>
      </c>
      <c r="H57" s="723"/>
      <c r="I57" s="295">
        <f t="shared" ca="1" si="1"/>
        <v>72</v>
      </c>
    </row>
    <row r="58" spans="2:34" hidden="1" outlineLevel="1">
      <c r="B58" s="3"/>
      <c r="C58" s="287"/>
      <c r="D58" s="288"/>
      <c r="E58" s="277"/>
      <c r="F58" s="280"/>
      <c r="G58" s="726"/>
      <c r="H58" s="727"/>
      <c r="I58" s="295"/>
      <c r="J58" s="317"/>
    </row>
    <row r="59" spans="2:34" ht="6" customHeight="1" collapsed="1"/>
    <row r="60" spans="2:34">
      <c r="B60" s="700" t="s">
        <v>109</v>
      </c>
      <c r="C60" s="701"/>
      <c r="D60" s="701"/>
      <c r="E60" s="701"/>
      <c r="F60" s="701"/>
      <c r="G60" s="701"/>
      <c r="H60" s="701"/>
      <c r="I60" s="702"/>
      <c r="J60" s="91"/>
      <c r="R60" s="62"/>
      <c r="V60" s="63"/>
      <c r="W60" s="63"/>
      <c r="X60" s="63"/>
      <c r="Y60" s="63"/>
      <c r="Z60" s="63"/>
      <c r="AA60" s="63"/>
      <c r="AB60" s="63"/>
      <c r="AC60" s="63"/>
      <c r="AD60" s="63"/>
      <c r="AE60" s="63"/>
      <c r="AF60" s="63"/>
      <c r="AG60" s="63"/>
      <c r="AH60" s="63"/>
    </row>
    <row r="61" spans="2:34">
      <c r="B61" s="208" t="s">
        <v>72</v>
      </c>
      <c r="C61" s="209" t="s">
        <v>103</v>
      </c>
      <c r="D61" s="210" t="s">
        <v>104</v>
      </c>
      <c r="E61" s="281" t="s">
        <v>105</v>
      </c>
      <c r="F61" s="210" t="s">
        <v>106</v>
      </c>
      <c r="G61" s="700" t="s">
        <v>107</v>
      </c>
      <c r="H61" s="702"/>
      <c r="I61" s="210" t="s">
        <v>108</v>
      </c>
    </row>
    <row r="62" spans="2:34">
      <c r="B62" s="159" t="str">
        <f>'Tracking &amp; Banking'!C43</f>
        <v>NA</v>
      </c>
      <c r="C62" s="559" t="str">
        <f>IF(B62="NA","-",'Tracking &amp; Banking'!D43)</f>
        <v>-</v>
      </c>
      <c r="D62" s="561" t="str">
        <f>IF(B62="NA","-",'Tracking &amp; Banking'!E43)</f>
        <v>-</v>
      </c>
      <c r="E62" s="52" t="str">
        <f>IF(B62="NA","-",INDEX('Tracking &amp; Banking'!$F$34:$K$39,6,MATCH(Summary!$B62,'Tracking &amp; Banking'!$F$34:$K$34,0)))</f>
        <v>-</v>
      </c>
      <c r="F62" s="278" t="str">
        <f t="shared" ref="F62:F67" si="2">IFERROR(IF(E62="n/a",DATE(YEAR(F16),12,31),IF(C62="Annually",EOMONTH(E62,12),IF(C62="Quarterly",EOMONTH(E62,3),IF(C62="Monthly",EOMONTH(E62,1),"-")))),"-")</f>
        <v>-</v>
      </c>
      <c r="G62" s="720" t="str">
        <f>_xlfn.IFNA(INDEX('Tracking &amp; Banking'!$C$42:$ZZ$48,MATCH(Summary!$B62,'Tracking &amp; Banking'!$C$42:$C$48,0),MATCH(Summary!$F62,'Tracking &amp; Banking'!$C$42:$ZZ$42,0)),"-")</f>
        <v>-</v>
      </c>
      <c r="H62" s="721" t="e">
        <f>INDEX('Tracking &amp; Banking'!$C$42:$CA$48,MATCH(Summary!$B62,'Tracking &amp; Banking'!$C$42:$C$48,0),MATCH(Summary!#REF!,'Tracking &amp; Banking'!$C$42:$CA$42,0))</f>
        <v>#REF!</v>
      </c>
      <c r="I62" s="316" t="str">
        <f t="shared" ref="I62:I67" ca="1" si="3">IFERROR(IF(AND(G62="DUE "&amp;TEXT(($F62+D62),"m/dd/yy"),$F62+D62&gt;=TODAY()),($F62+D62)-TODAY(),IF($F62+D62&lt;TODAY(),"PAST DUE","check formula")),"-")</f>
        <v>-</v>
      </c>
      <c r="V62" s="64"/>
      <c r="W62" s="31"/>
      <c r="X62" s="65"/>
      <c r="Y62" s="65"/>
      <c r="Z62" s="65"/>
      <c r="AA62" s="65"/>
      <c r="AB62" s="65"/>
      <c r="AC62" s="65"/>
      <c r="AD62" s="65"/>
      <c r="AE62" s="65"/>
      <c r="AF62" s="65"/>
      <c r="AG62" s="65"/>
      <c r="AH62" s="65"/>
    </row>
    <row r="63" spans="2:34">
      <c r="B63" s="560" t="str">
        <f>'Tracking &amp; Banking'!C44</f>
        <v>NA</v>
      </c>
      <c r="C63" s="285" t="str">
        <f>IF(B63="NA","-",'Tracking &amp; Banking'!D44)</f>
        <v>-</v>
      </c>
      <c r="D63" s="554" t="str">
        <f>IF(B63="NA","-",'Tracking &amp; Banking'!E44)</f>
        <v>-</v>
      </c>
      <c r="E63" s="276" t="str">
        <f>IF(B63="NA","-",INDEX('Tracking &amp; Banking'!$F$34:$K$39,6,MATCH(Summary!$B63,'Tracking &amp; Banking'!$F$34:$K$34,0)))</f>
        <v>-</v>
      </c>
      <c r="F63" s="279" t="str">
        <f t="shared" si="2"/>
        <v>-</v>
      </c>
      <c r="G63" s="728" t="str">
        <f>_xlfn.IFNA(INDEX('Tracking &amp; Banking'!$C$42:$ZZ$48,MATCH(Summary!$B63,'Tracking &amp; Banking'!$C$42:$C$48,0),MATCH(Summary!$F63,'Tracking &amp; Banking'!$C$42:$ZZ$42,0)),"-")</f>
        <v>-</v>
      </c>
      <c r="H63" s="729" t="e">
        <f>INDEX('Tracking &amp; Banking'!$C$42:$CA$48,MATCH(Summary!$B63,'Tracking &amp; Banking'!$C$42:$C$48,0),MATCH(Summary!#REF!,'Tracking &amp; Banking'!$C$42:$CA$42,0))</f>
        <v>#REF!</v>
      </c>
      <c r="I63" s="315" t="str">
        <f t="shared" ca="1" si="3"/>
        <v>-</v>
      </c>
    </row>
    <row r="64" spans="2:34" ht="11.5" customHeight="1">
      <c r="B64" s="630" t="str">
        <f>'Tracking &amp; Banking'!C45</f>
        <v>NA</v>
      </c>
      <c r="C64" s="631" t="str">
        <f>IF(B64="NA","-",'Tracking &amp; Banking'!D45)</f>
        <v>-</v>
      </c>
      <c r="D64" s="632" t="str">
        <f>IF(B64="NA","-",'Tracking &amp; Banking'!E45)</f>
        <v>-</v>
      </c>
      <c r="E64" s="633" t="str">
        <f>IF(B64="NA","-",INDEX('Tracking &amp; Banking'!$F$34:$K$39,6,MATCH(Summary!$B64,'Tracking &amp; Banking'!$F$34:$K$34,0)))</f>
        <v>-</v>
      </c>
      <c r="F64" s="634" t="str">
        <f t="shared" si="2"/>
        <v>-</v>
      </c>
      <c r="G64" s="732" t="str">
        <f>_xlfn.IFNA(INDEX('Tracking &amp; Banking'!$C$42:$ZZ$48,MATCH(Summary!$B64,'Tracking &amp; Banking'!$C$42:$C$48,0),MATCH(Summary!$F64,'Tracking &amp; Banking'!$C$42:$ZZ$42,0)),"-")</f>
        <v>-</v>
      </c>
      <c r="H64" s="733" t="e">
        <f>INDEX('Tracking &amp; Banking'!$C$42:$CA$48,MATCH(Summary!$B64,'Tracking &amp; Banking'!$C$42:$C$48,0),MATCH(Summary!#REF!,'Tracking &amp; Banking'!$C$42:$CA$42,0))</f>
        <v>#REF!</v>
      </c>
      <c r="I64" s="635" t="str">
        <f t="shared" ca="1" si="3"/>
        <v>-</v>
      </c>
    </row>
    <row r="65" spans="2:18" hidden="1">
      <c r="B65" s="1" t="str">
        <f>'Tracking &amp; Banking'!C46</f>
        <v>NA</v>
      </c>
      <c r="C65" s="285" t="str">
        <f>IF(B65="NA","-",'Tracking &amp; Banking'!D46)</f>
        <v>-</v>
      </c>
      <c r="D65" s="296" t="str">
        <f>IF(B65="NA","-",'Tracking &amp; Banking'!E46)</f>
        <v>-</v>
      </c>
      <c r="E65" s="276" t="str">
        <f>IF(B65="NA","-",INDEX('Tracking &amp; Banking'!$F$34:$K$39,6,MATCH(Summary!$B65,'Tracking &amp; Banking'!$F$34:$K$34,0)))</f>
        <v>-</v>
      </c>
      <c r="F65" s="279" t="str">
        <f t="shared" si="2"/>
        <v>-</v>
      </c>
      <c r="G65" s="728" t="str">
        <f>_xlfn.IFNA(INDEX('Tracking &amp; Banking'!$C$42:$ZZ$48,MATCH(Summary!$B65,'Tracking &amp; Banking'!$C$42:$C$48,0),MATCH(Summary!$F65,'Tracking &amp; Banking'!$C$42:$ZZ$42,0)),"-")</f>
        <v>-</v>
      </c>
      <c r="H65" s="729" t="e">
        <f>INDEX('Tracking &amp; Banking'!$C$42:$CA$48,MATCH(Summary!$B65,'Tracking &amp; Banking'!$C$42:$C$48,0),MATCH(Summary!#REF!,'Tracking &amp; Banking'!$C$42:$CA$42,0))</f>
        <v>#REF!</v>
      </c>
      <c r="I65" s="315" t="str">
        <f t="shared" ca="1" si="3"/>
        <v>-</v>
      </c>
    </row>
    <row r="66" spans="2:18" hidden="1">
      <c r="B66" s="1" t="str">
        <f>'Tracking &amp; Banking'!C47</f>
        <v>NA</v>
      </c>
      <c r="C66" s="285" t="str">
        <f>IF(B66="NA","-",'Tracking &amp; Banking'!D47)</f>
        <v>-</v>
      </c>
      <c r="D66" s="296" t="str">
        <f>IF(B66="NA","-",'Tracking &amp; Banking'!E47)</f>
        <v>-</v>
      </c>
      <c r="E66" s="276" t="str">
        <f>IF(B66="NA","-",INDEX('Tracking &amp; Banking'!$F$34:$K$39,6,MATCH(Summary!$B66,'Tracking &amp; Banking'!$F$34:$K$34,0)))</f>
        <v>-</v>
      </c>
      <c r="F66" s="279" t="str">
        <f t="shared" si="2"/>
        <v>-</v>
      </c>
      <c r="G66" s="728" t="str">
        <f>_xlfn.IFNA(INDEX('Tracking &amp; Banking'!$C$42:$ZZ$48,MATCH(Summary!$B66,'Tracking &amp; Banking'!$C$42:$C$48,0),MATCH(Summary!$F66,'Tracking &amp; Banking'!$C$42:$ZZ$42,0)),"-")</f>
        <v>-</v>
      </c>
      <c r="H66" s="729" t="e">
        <f>INDEX('Tracking &amp; Banking'!$C$42:$CA$48,MATCH(Summary!$B66,'Tracking &amp; Banking'!$C$42:$C$48,0),MATCH(Summary!#REF!,'Tracking &amp; Banking'!$C$42:$CA$42,0))</f>
        <v>#REF!</v>
      </c>
      <c r="I66" s="315" t="str">
        <f t="shared" ca="1" si="3"/>
        <v>-</v>
      </c>
    </row>
    <row r="67" spans="2:18" hidden="1">
      <c r="B67" s="1" t="str">
        <f>'Tracking &amp; Banking'!C48</f>
        <v>NA</v>
      </c>
      <c r="C67" s="285" t="str">
        <f>IF(B67="NA","-",'Tracking &amp; Banking'!D48)</f>
        <v>-</v>
      </c>
      <c r="D67" s="296" t="str">
        <f>IF(B67="NA","-",'Tracking &amp; Banking'!E48)</f>
        <v>-</v>
      </c>
      <c r="E67" s="276" t="str">
        <f>IF(B67="NA","-",INDEX('Tracking &amp; Banking'!$F$34:$K$39,6,MATCH(Summary!$B67,'Tracking &amp; Banking'!$F$34:$K$34,0)))</f>
        <v>-</v>
      </c>
      <c r="F67" s="279" t="str">
        <f t="shared" si="2"/>
        <v>-</v>
      </c>
      <c r="G67" s="728" t="str">
        <f>_xlfn.IFNA(INDEX('Tracking &amp; Banking'!$C$42:$ZZ$48,MATCH(Summary!$B67,'Tracking &amp; Banking'!$C$42:$C$48,0),MATCH(Summary!$F67,'Tracking &amp; Banking'!$C$42:$ZZ$42,0)),"-")</f>
        <v>-</v>
      </c>
      <c r="H67" s="729" t="e">
        <f>INDEX('Tracking &amp; Banking'!$C$42:$CA$48,MATCH(Summary!$B67,'Tracking &amp; Banking'!$C$42:$C$48,0),MATCH(Summary!#REF!,'Tracking &amp; Banking'!$C$42:$CA$42,0))</f>
        <v>#REF!</v>
      </c>
      <c r="I67" s="315" t="str">
        <f t="shared" ca="1" si="3"/>
        <v>-</v>
      </c>
    </row>
    <row r="68" spans="2:18" hidden="1" outlineLevel="1">
      <c r="B68" s="318" t="str">
        <f>'Tracking &amp; Banking'!C49</f>
        <v>NA</v>
      </c>
      <c r="C68" s="478"/>
      <c r="D68" s="479"/>
      <c r="E68" s="83"/>
      <c r="F68" s="480"/>
      <c r="G68" s="726"/>
      <c r="H68" s="727"/>
      <c r="I68" s="481"/>
      <c r="J68" s="294"/>
    </row>
    <row r="69" spans="2:18" ht="6.75" customHeight="1" collapsed="1"/>
    <row r="70" spans="2:18">
      <c r="B70" s="731" t="str">
        <f>"Financial Statement Analysis ($000's) - "&amp;C7</f>
        <v>Financial Statement Analysis ($000's) - 123 Fake Co</v>
      </c>
      <c r="C70" s="686"/>
      <c r="D70" s="686"/>
      <c r="E70" s="686"/>
      <c r="F70" s="686"/>
      <c r="G70" s="686"/>
      <c r="H70" s="686"/>
      <c r="I70" s="686"/>
      <c r="J70" s="686"/>
      <c r="K70" s="686"/>
      <c r="L70" s="686"/>
      <c r="M70" s="686"/>
      <c r="N70" s="686"/>
      <c r="O70" s="686"/>
      <c r="P70" s="687"/>
    </row>
    <row r="71" spans="2:18" ht="3.75" customHeight="1">
      <c r="B71" s="66"/>
      <c r="C71" s="66"/>
      <c r="D71" s="66"/>
      <c r="E71" s="66"/>
      <c r="F71" s="66"/>
      <c r="G71" s="66"/>
      <c r="H71" s="66"/>
      <c r="I71" s="66"/>
      <c r="J71" s="66"/>
      <c r="K71" s="66"/>
      <c r="L71" s="66"/>
      <c r="M71" s="66"/>
      <c r="N71" s="66"/>
      <c r="O71" s="66"/>
      <c r="P71" s="66"/>
    </row>
    <row r="72" spans="2:18">
      <c r="B72" s="734" t="s">
        <v>110</v>
      </c>
      <c r="C72" s="735"/>
      <c r="D72" s="735"/>
      <c r="E72" s="735"/>
      <c r="F72" s="736"/>
      <c r="G72" s="178"/>
      <c r="H72" s="67" t="s">
        <v>111</v>
      </c>
      <c r="I72" s="179"/>
      <c r="J72" s="179"/>
      <c r="K72" s="615"/>
      <c r="L72" s="178"/>
      <c r="M72" s="67" t="s">
        <v>112</v>
      </c>
      <c r="N72" s="68"/>
      <c r="O72" s="68"/>
      <c r="P72" s="69"/>
    </row>
    <row r="73" spans="2:18">
      <c r="B73" s="351"/>
      <c r="C73" s="70">
        <f>EOMONTH(D73,-3)</f>
        <v>45838</v>
      </c>
      <c r="D73" s="70">
        <f>EOMONTH(E73,-3)</f>
        <v>45930</v>
      </c>
      <c r="E73" s="70">
        <f>EOMONTH(F73,-3)</f>
        <v>46022</v>
      </c>
      <c r="F73" s="70">
        <f>$K$2</f>
        <v>46112</v>
      </c>
      <c r="H73" s="417">
        <f>EOMONTH(I73,-12)</f>
        <v>45747</v>
      </c>
      <c r="I73" s="186">
        <f>$K$2</f>
        <v>46112</v>
      </c>
      <c r="J73" s="253" t="s">
        <v>113</v>
      </c>
      <c r="K73" s="187" t="s">
        <v>114</v>
      </c>
      <c r="M73" s="417">
        <f>EOMONTH(N73,-12)</f>
        <v>45747</v>
      </c>
      <c r="N73" s="186">
        <f>$K$2</f>
        <v>46112</v>
      </c>
      <c r="O73" s="253" t="s">
        <v>113</v>
      </c>
      <c r="P73" s="187" t="s">
        <v>114</v>
      </c>
    </row>
    <row r="74" spans="2:18">
      <c r="B74" s="29" t="s">
        <v>115</v>
      </c>
      <c r="C74" s="71">
        <f>INDEX('Income Stmt'!$B$4:$ZZ$11,MATCH(Summary!$B74,'Income Stmt'!$B$4:$B$11,0),MATCH(Summary!C$73,'Income Stmt'!$B$4:$ZZ$4))</f>
        <v>483485</v>
      </c>
      <c r="D74" s="71">
        <f>INDEX('Income Stmt'!$B$4:$ZZ$11,MATCH(Summary!$B74,'Income Stmt'!$B$4:$B$11,0),MATCH(Summary!D$73,'Income Stmt'!$B$4:$ZZ$4))</f>
        <v>396632</v>
      </c>
      <c r="E74" s="71">
        <f>INDEX('Income Stmt'!$B$4:$ZZ$11,MATCH(Summary!$B74,'Income Stmt'!$B$4:$B$11,0),MATCH(Summary!E$73,'Income Stmt'!$B$4:$ZZ$4))</f>
        <v>473967</v>
      </c>
      <c r="F74" s="71">
        <f>INDEX('Income Stmt'!$B$4:$ZZ$11,MATCH(Summary!$B74,'Income Stmt'!$B$4:$B$11,0),MATCH(Summary!F$73,'Income Stmt'!$B$4:$ZZ$4))</f>
        <v>319736</v>
      </c>
      <c r="H74" s="71">
        <f>INDEX('Income Stmt'!$B$13:$ZZ$20,MATCH(Summary!$B74,'Income Stmt'!$B$13:$B$20,0),MATCH(EOMONTH(Summary!I$73,-12),'Income Stmt'!$B$13:$ZZ$13))</f>
        <v>351420</v>
      </c>
      <c r="I74" s="71">
        <f>INDEX('Income Stmt'!$B$13:$ZZ$20,MATCH(Summary!$B74,'Income Stmt'!$B$13:$B$20,0),MATCH(Summary!I$73,'Income Stmt'!$B$13:$ZZ$13))</f>
        <v>319736</v>
      </c>
      <c r="J74" s="72">
        <f>I74-H74</f>
        <v>-31684</v>
      </c>
      <c r="K74" s="73">
        <f>I74/H74-1</f>
        <v>-9.0159922599738151E-2</v>
      </c>
      <c r="M74" s="71">
        <f>INDEX('Income Stmt'!$B$22:$ZZ$29,MATCH(Summary!$B74,'Income Stmt'!$B$22:$B$29,0),MATCH(EOMONTH(Summary!N$73,-12),'Income Stmt'!$B$22:$ZZ$22,0))</f>
        <v>2163167</v>
      </c>
      <c r="N74" s="71">
        <f>IFERROR(INDEX('Income Stmt'!$B$22:$ZZ$29,MATCH(Summary!$B74,'Income Stmt'!$B$22:$B$29,0),MATCH(Summary!N$73,'Income Stmt'!$B$22:$ZZ$22,0)),"n/a")</f>
        <v>1673820</v>
      </c>
      <c r="O74" s="72">
        <f>N74-M74</f>
        <v>-489347</v>
      </c>
      <c r="P74" s="180">
        <f>N74/M74-1</f>
        <v>-0.22621785557934271</v>
      </c>
    </row>
    <row r="75" spans="2:18">
      <c r="B75" s="181" t="s">
        <v>116</v>
      </c>
      <c r="C75" s="541">
        <f t="shared" ref="C75:D75" si="4">IFERROR(C74/C83,"n/a")</f>
        <v>365.44595616024185</v>
      </c>
      <c r="D75" s="541">
        <f t="shared" si="4"/>
        <v>372.42441314553992</v>
      </c>
      <c r="E75" s="541">
        <f>IFERROR(E74/E83,"n/a")</f>
        <v>445.03943661971829</v>
      </c>
      <c r="F75" s="541">
        <f t="shared" ref="F75" si="5">IFERROR(F74/F83,"n/a")</f>
        <v>362.92395005675371</v>
      </c>
      <c r="H75" s="75">
        <f>H74/H83</f>
        <v>352.8313253012048</v>
      </c>
      <c r="I75" s="75">
        <f>I74/I83</f>
        <v>362.92395005675371</v>
      </c>
      <c r="J75" s="408">
        <f>I75-H75</f>
        <v>10.092624755548911</v>
      </c>
      <c r="K75" s="74">
        <f>I75/H75-1</f>
        <v>2.8604673201658271E-2</v>
      </c>
      <c r="M75" s="75">
        <f>M74/M83</f>
        <v>357.88347212264927</v>
      </c>
      <c r="N75" s="75">
        <f>IF($N$74="n/a", "-",$N$74/N83)</f>
        <v>386.20673742501151</v>
      </c>
      <c r="O75" s="408">
        <f>N75-M75</f>
        <v>28.323265302362245</v>
      </c>
      <c r="P75" s="203">
        <f>N75/M75-1</f>
        <v>7.9141026363619416E-2</v>
      </c>
    </row>
    <row r="76" spans="2:18">
      <c r="B76" s="29" t="s">
        <v>117</v>
      </c>
      <c r="C76" s="71">
        <f>INDEX('Income Stmt'!$B$4:$ZZ$11,MATCH(Summary!$B76,'Income Stmt'!$B$4:$B$11,0),MATCH(Summary!C$73,'Income Stmt'!$B$4:$ZZ$4))</f>
        <v>110608</v>
      </c>
      <c r="D76" s="71">
        <f>INDEX('Income Stmt'!$B$4:$ZZ$11,MATCH(Summary!$B76,'Income Stmt'!$B$4:$B$11,0),MATCH(Summary!D$73,'Income Stmt'!$B$4:$ZZ$4))</f>
        <v>85112</v>
      </c>
      <c r="E76" s="71">
        <f>INDEX('Income Stmt'!$B$4:$ZZ$11,MATCH(Summary!$B76,'Income Stmt'!$B$4:$B$11,0),MATCH(Summary!E$73,'Income Stmt'!$B$4:$ZZ$4))</f>
        <v>84113</v>
      </c>
      <c r="F76" s="71">
        <f>INDEX('Income Stmt'!$B$4:$ZZ$11,MATCH(Summary!$B76,'Income Stmt'!$B$4:$B$11,0),MATCH(Summary!F$73,'Income Stmt'!$B$4:$ZZ$4))</f>
        <v>59929</v>
      </c>
      <c r="H76" s="71">
        <f>INDEX('Income Stmt'!$B$13:$ZZ$20,MATCH(Summary!$B76,'Income Stmt'!$B$13:$B$20,0),MATCH(EOMONTH(Summary!I$73,-12),'Income Stmt'!$B$13:$ZZ$13))</f>
        <v>73713</v>
      </c>
      <c r="I76" s="71">
        <f>INDEX('Income Stmt'!$B$13:$ZZ$20,MATCH(Summary!$B76,'Income Stmt'!$B$13:$B$20,0),MATCH(Summary!I$73,'Income Stmt'!$B$13:$ZZ$13))</f>
        <v>59929</v>
      </c>
      <c r="J76" s="72">
        <f>I76-H76</f>
        <v>-13784</v>
      </c>
      <c r="K76" s="73">
        <f>I76/H76-1</f>
        <v>-0.18699550961160172</v>
      </c>
      <c r="M76" s="71">
        <f>INDEX('Income Stmt'!$B$22:$ZZ$29,MATCH(Summary!$B76,'Income Stmt'!$B$22:$B$29,0),MATCH(EOMONTH(Summary!N$73,-12),'Income Stmt'!$B$22:$ZZ$22,0))</f>
        <v>1651622</v>
      </c>
      <c r="N76" s="71">
        <f>IFERROR(INDEX('Income Stmt'!$B$22:$ZZ$29,MATCH(Summary!$B76,'Income Stmt'!$B$22:$B$29,0),MATCH(Summary!N$73,'Income Stmt'!$B$22:$ZZ$22,0)),"n/a")</f>
        <v>339762</v>
      </c>
      <c r="O76" s="72">
        <f>N76-M76</f>
        <v>-1311860</v>
      </c>
      <c r="P76" s="180">
        <f>N76/M76-1</f>
        <v>-0.79428585959741393</v>
      </c>
      <c r="R76" s="202"/>
    </row>
    <row r="77" spans="2:18">
      <c r="B77" s="181" t="s">
        <v>118</v>
      </c>
      <c r="C77" s="74">
        <f>INDEX('Income Stmt'!$B$4:$ZZ$11,MATCH(Summary!$B77,'Income Stmt'!$B$4:$B$11,0),MATCH(Summary!C$73,'Income Stmt'!$B$4:$ZZ$4))</f>
        <v>0.22877235074511101</v>
      </c>
      <c r="D77" s="74">
        <f>D76/D74</f>
        <v>0.2145868210330987</v>
      </c>
      <c r="E77" s="74">
        <f>E76/E74</f>
        <v>0.17746594172168104</v>
      </c>
      <c r="F77" s="74">
        <f>F76/F74</f>
        <v>0.18743275702454526</v>
      </c>
      <c r="H77" s="74">
        <f>H76/H74</f>
        <v>0.20975755506231861</v>
      </c>
      <c r="I77" s="74">
        <f>I76/I74</f>
        <v>0.18743275702454526</v>
      </c>
      <c r="K77" s="74">
        <f>I77/H77-1</f>
        <v>-0.10643143714723735</v>
      </c>
      <c r="M77" s="74">
        <f>M76/M74</f>
        <v>0.76352033846670186</v>
      </c>
      <c r="N77" s="74">
        <f>IF($N$74="n/a", "-",N76/N74)</f>
        <v>0.20298598415600244</v>
      </c>
      <c r="P77" s="203">
        <f>N77/M77-1</f>
        <v>-0.73414462728833396</v>
      </c>
    </row>
    <row r="78" spans="2:18" outlineLevel="1">
      <c r="B78" s="201" t="s">
        <v>119</v>
      </c>
      <c r="C78" s="71">
        <f>INDEX('Income Stmt'!$B$4:$ZZ$11,MATCH(Summary!$B78,'Income Stmt'!$B$4:$B$11,0),MATCH(Summary!C$73,'Income Stmt'!$B$4:$ZZ$4))</f>
        <v>71000</v>
      </c>
      <c r="D78" s="71">
        <f>INDEX('Income Stmt'!$B$4:$ZZ$11,MATCH(Summary!$B78,'Income Stmt'!$B$4:$B$11,0),MATCH(Summary!D$73,'Income Stmt'!$B$4:$ZZ$4))</f>
        <v>63628</v>
      </c>
      <c r="E78" s="71">
        <f>INDEX('Income Stmt'!$B$4:$ZZ$11,MATCH(Summary!$B78,'Income Stmt'!$B$4:$B$11,0),MATCH(Summary!E$73,'Income Stmt'!$B$4:$ZZ$4))</f>
        <v>65598</v>
      </c>
      <c r="F78" s="71">
        <f>INDEX('Income Stmt'!$B$4:$ZZ$11,MATCH(Summary!$B78,'Income Stmt'!$B$4:$B$11,0),MATCH(Summary!F$73,'Income Stmt'!$B$4:$ZZ$4))</f>
        <v>60511</v>
      </c>
      <c r="H78" s="71">
        <f>INDEX('Income Stmt'!$B$13:$ZZ$20,MATCH(Summary!$B78,'Income Stmt'!$B$13:$B$20,0),MATCH(EOMONTH(Summary!I$73,-12),'Income Stmt'!$B$13:$ZZ$13))</f>
        <v>73544</v>
      </c>
      <c r="I78" s="71">
        <f>INDEX('Income Stmt'!$B$13:$ZZ$20,MATCH(Summary!$B78,'Income Stmt'!$B$13:$B$20,0),MATCH(Summary!I$73,'Income Stmt'!$B$13:$ZZ$13))</f>
        <v>60511</v>
      </c>
      <c r="J78" s="72">
        <f>H78-I78</f>
        <v>13033</v>
      </c>
      <c r="K78" s="73">
        <f>H78/I78-1</f>
        <v>0.21538232718018202</v>
      </c>
      <c r="M78" s="71">
        <f>INDEX('Income Stmt'!$B$22:$ZZ$29,MATCH(Summary!$B78,'Income Stmt'!$B$22:$B$29,0),MATCH(EOMONTH(Summary!N$73,-12),'Income Stmt'!$B$22:$ZZ$22,0))</f>
        <v>322018</v>
      </c>
      <c r="N78" s="71">
        <f>IFERROR(INDEX('Income Stmt'!$B$22:$ZZ$29,MATCH(Summary!$B78,'Income Stmt'!$B$22:$B$29,0),MATCH(Summary!N$73,'Income Stmt'!$B$22:$ZZ$22,0)),"n/a")</f>
        <v>260737</v>
      </c>
      <c r="O78" s="72">
        <f>M78-N78</f>
        <v>61281</v>
      </c>
      <c r="P78" s="180">
        <f>M78/N78-1</f>
        <v>0.23502993437831998</v>
      </c>
      <c r="R78" s="76"/>
    </row>
    <row r="79" spans="2:18" outlineLevel="1">
      <c r="B79" s="181" t="s">
        <v>120</v>
      </c>
      <c r="C79" s="74">
        <f>C78/C74</f>
        <v>0.14685047105908147</v>
      </c>
      <c r="D79" s="74">
        <f t="shared" ref="D79:I79" si="6">D78/D74</f>
        <v>0.16042074265313944</v>
      </c>
      <c r="E79" s="74">
        <f t="shared" si="6"/>
        <v>0.13840204064839956</v>
      </c>
      <c r="F79" s="74">
        <f t="shared" si="6"/>
        <v>0.18925300873220408</v>
      </c>
      <c r="H79" s="74">
        <f t="shared" si="6"/>
        <v>0.20927664902395993</v>
      </c>
      <c r="I79" s="74">
        <f t="shared" si="6"/>
        <v>0.18925300873220408</v>
      </c>
      <c r="J79" s="72"/>
      <c r="K79" s="73"/>
      <c r="M79" s="74">
        <f t="shared" ref="M79" si="7">M78/M74</f>
        <v>0.14886414225069078</v>
      </c>
      <c r="N79" s="74">
        <f t="shared" ref="N79" si="8">N78/N74</f>
        <v>0.15577361962457134</v>
      </c>
      <c r="O79" s="72"/>
      <c r="P79" s="180"/>
      <c r="R79" s="76"/>
    </row>
    <row r="80" spans="2:18">
      <c r="B80" s="29" t="s">
        <v>121</v>
      </c>
      <c r="C80" s="71">
        <f>INDEX('Income Stmt'!$B$4:$ZZ$11,MATCH(Summary!$B80,'Income Stmt'!$B$4:$B$11,0),MATCH(Summary!C$73,'Income Stmt'!$B$4:$ZZ$4))</f>
        <v>42040</v>
      </c>
      <c r="D80" s="71">
        <f>INDEX('Income Stmt'!$B$4:$ZZ$11,MATCH(Summary!$B80,'Income Stmt'!$B$4:$B$11,0),MATCH(Summary!D$73,'Income Stmt'!$B$4:$ZZ$4))</f>
        <v>26701</v>
      </c>
      <c r="E80" s="71">
        <f>INDEX('Income Stmt'!$B$4:$ZZ$11,MATCH(Summary!$B80,'Income Stmt'!$B$4:$B$11,0),MATCH(Summary!E$73,'Income Stmt'!$B$4:$ZZ$4))</f>
        <v>24021</v>
      </c>
      <c r="F80" s="71">
        <f>INDEX('Income Stmt'!$B$4:$ZZ$11,MATCH(Summary!$B80,'Income Stmt'!$B$4:$B$11,0),MATCH(Summary!F$73,'Income Stmt'!$B$4:$ZZ$4))</f>
        <v>4319</v>
      </c>
      <c r="H80" s="71">
        <f>INDEX('Income Stmt'!$B$13:$ZZ$20,MATCH(Summary!$B80,'Income Stmt'!$B$13:$B$20,0),MATCH(EOMONTH(Summary!I$73,-12),'Income Stmt'!$B$13:$ZZ$13))</f>
        <v>5724</v>
      </c>
      <c r="I80" s="71">
        <f>INDEX('Income Stmt'!$B$13:$ZZ$20,MATCH(Summary!$B80,'Income Stmt'!$B$13:$B$20,0),MATCH(Summary!I$73,'Income Stmt'!$B$13:$ZZ$13))</f>
        <v>4319</v>
      </c>
      <c r="J80" s="72">
        <f>I80-H80</f>
        <v>-1405</v>
      </c>
      <c r="K80" s="73">
        <f>I80/H80-1</f>
        <v>-0.24545772187281623</v>
      </c>
      <c r="M80" s="71">
        <f>INDEX('Income Stmt'!$B$22:$ZZ$29,MATCH(Summary!$B80,'Income Stmt'!$B$22:$B$29,0),MATCH(EOMONTH(Summary!N$73,-12),'Income Stmt'!$B$22:$ZZ$22,0))</f>
        <v>184742</v>
      </c>
      <c r="N80" s="71">
        <f>IFERROR(INDEX('Income Stmt'!$B$22:$ZZ$29,MATCH(Summary!$B80,'Income Stmt'!$B$22:$B$29,0),MATCH(Summary!N$73,'Income Stmt'!$B$22:$ZZ$22,0)),"n/a")</f>
        <v>97081</v>
      </c>
      <c r="O80" s="72">
        <f>N80-M80</f>
        <v>-87661</v>
      </c>
      <c r="P80" s="180">
        <f>N80/M80-1</f>
        <v>-0.47450498533089391</v>
      </c>
    </row>
    <row r="81" spans="2:20">
      <c r="B81" s="182" t="s">
        <v>122</v>
      </c>
      <c r="C81" s="183">
        <f>C80/C74</f>
        <v>8.6952025398926547E-2</v>
      </c>
      <c r="D81" s="183">
        <f>D80/D74</f>
        <v>6.7319328748058654E-2</v>
      </c>
      <c r="E81" s="183">
        <f>E80/E74</f>
        <v>5.0680743596073143E-2</v>
      </c>
      <c r="F81" s="183">
        <f>F80/F74</f>
        <v>1.3508019115770511E-2</v>
      </c>
      <c r="G81" s="28"/>
      <c r="H81" s="183">
        <f>H80/H74</f>
        <v>1.6288202151271983E-2</v>
      </c>
      <c r="I81" s="183">
        <f>I80/I74</f>
        <v>1.3508019115770511E-2</v>
      </c>
      <c r="J81" s="28"/>
      <c r="K81" s="183">
        <f>I81/H81-1</f>
        <v>-0.17068691864708718</v>
      </c>
      <c r="L81" s="28"/>
      <c r="M81" s="183">
        <f>M80/M74</f>
        <v>8.5403484797983695E-2</v>
      </c>
      <c r="N81" s="183">
        <f>IF($N$74="n/a", "-",N80/N74)</f>
        <v>5.7999665435948908E-2</v>
      </c>
      <c r="O81" s="28"/>
      <c r="P81" s="407">
        <f>N81/M81-1</f>
        <v>-0.32087472105917825</v>
      </c>
    </row>
    <row r="82" spans="2:20" ht="5.25" customHeight="1"/>
    <row r="83" spans="2:20">
      <c r="B83" s="256" t="s">
        <v>123</v>
      </c>
      <c r="C83" s="257">
        <f>SUMIFS(Inventory!$C$9:$ZZ$9,Inventory!$C$3:$ZZ$3,"&lt;="&amp;Summary!C$73,Inventory!$C$3:$ZZ$3,"&gt;="&amp;EOMONTH(Summary!C$73,-2))</f>
        <v>1323</v>
      </c>
      <c r="D83" s="257">
        <f>SUMIFS(Inventory!$C$9:$ZZ$9,Inventory!$C$3:$ZZ$3,"&lt;="&amp;Summary!D$73,Inventory!$C$3:$ZZ$3,"&gt;="&amp;EOMONTH(Summary!D$73,-2))</f>
        <v>1065</v>
      </c>
      <c r="E83" s="257">
        <f>SUMIFS(Inventory!$C$9:$ZZ$9,Inventory!$C$3:$ZZ$3,"&lt;="&amp;Summary!E$73,Inventory!$C$3:$ZZ$3,"&gt;="&amp;EOMONTH(Summary!E$73,-2))</f>
        <v>1065</v>
      </c>
      <c r="F83" s="257">
        <f>SUMIFS(Inventory!$C$9:$ZZ$9,Inventory!$C$3:$ZZ$3,"&lt;="&amp;Summary!F$73,Inventory!$C$3:$ZZ$3,"&gt;="&amp;EOMONTH(Summary!F$73,-2))</f>
        <v>881</v>
      </c>
      <c r="G83" s="37"/>
      <c r="H83" s="257">
        <f>VLOOKUP(EOMONTH(I$73,-12),Inventory!$C$10:$ZZ10,MATCH(EOMONTH(Summary!$I$73,-12),Inventory!$C$3:$ZZ$3,0))</f>
        <v>996</v>
      </c>
      <c r="I83" s="257">
        <f>VLOOKUP(I$73,Inventory!$C$10:$ZZ10,MATCH(Summary!I73,Inventory!$C$3:$ZZ$3,0))</f>
        <v>881</v>
      </c>
      <c r="J83" s="258">
        <f>I83-H83</f>
        <v>-115</v>
      </c>
      <c r="K83" s="259">
        <f>I83/H83-1</f>
        <v>-0.11546184738955823</v>
      </c>
      <c r="L83" s="37"/>
      <c r="M83" s="257">
        <f>INDEX(Inventory!$B$8:$ZZ$11,MATCH(Summary!B$83,Inventory!$B$8:$B$11,0),MATCH(EOMONTH(Summary!N$73,-12),Inventory!$B$8:$ZZ$8,0))</f>
        <v>6044.3333333333339</v>
      </c>
      <c r="N83" s="257">
        <f>INDEX(Inventory!$B$8:$ZZ$11,MATCH(Summary!B$83,Inventory!$B$8:$B$11,0),MATCH(Summary!N$73,Inventory!$B$8:$ZZ$8,0))</f>
        <v>4334</v>
      </c>
      <c r="O83" s="258">
        <f>N83-M83</f>
        <v>-1710.3333333333339</v>
      </c>
      <c r="P83" s="260">
        <f>N83/M83-1</f>
        <v>-0.28296476038162477</v>
      </c>
    </row>
    <row r="84" spans="2:20" outlineLevel="1">
      <c r="B84" s="29" t="s">
        <v>124</v>
      </c>
      <c r="C84" s="465">
        <f>SUMIFS(Inventory!$B$4:$ZZ$4,Inventory!$B$3:$ZZ$3,"&gt;"&amp;EOMONTH(Summary!C73,-3),Inventory!$B$3:$ZZ$3,"&lt;="&amp;Summary!C73)</f>
        <v>1091.6666666666667</v>
      </c>
      <c r="D84" s="465">
        <f>SUMIFS(Inventory!$B$4:$ZZ$4,Inventory!$B$3:$ZZ$3,"&gt;"&amp;EOMONTH(Summary!D73,-3),Inventory!$B$3:$ZZ$3,"&lt;="&amp;Summary!D73)</f>
        <v>1569</v>
      </c>
      <c r="E84" s="465">
        <f>SUMIFS(Inventory!$B$4:$ZZ$4,Inventory!$B$3:$ZZ$3,"&gt;"&amp;EOMONTH(Summary!E73,-3),Inventory!$B$3:$ZZ$3,"&lt;="&amp;Summary!E73)</f>
        <v>1569</v>
      </c>
      <c r="F84" s="465">
        <f>SUMIFS(Inventory!$B$4:$ZZ$4,Inventory!$B$3:$ZZ$3,"&gt;"&amp;EOMONTH(Summary!F73,-3),Inventory!$B$3:$ZZ$3,"&lt;="&amp;Summary!F73)</f>
        <v>881</v>
      </c>
      <c r="G84" s="31"/>
      <c r="H84" s="465">
        <f>HLOOKUP(Summary!H73,Inventory!$B$3:$ZZ$6,3)</f>
        <v>1437</v>
      </c>
      <c r="I84" s="465">
        <f>HLOOKUP(Summary!I73,Inventory!$B$3:$ZZ$6,3)</f>
        <v>881</v>
      </c>
      <c r="J84" s="466"/>
      <c r="K84" s="73"/>
      <c r="L84" s="31"/>
      <c r="M84" s="465">
        <f>HLOOKUP(Summary!M73,Inventory!$B$3:$ZZ$6,4)</f>
        <v>6238</v>
      </c>
      <c r="N84" s="465">
        <f>HLOOKUP(Summary!N73,Inventory!$B$3:$ZZ$6,4)</f>
        <v>5110.6666666666679</v>
      </c>
      <c r="O84" s="466"/>
      <c r="P84" s="180"/>
    </row>
    <row r="85" spans="2:20">
      <c r="B85" s="244" t="s">
        <v>125</v>
      </c>
      <c r="C85" s="204">
        <f>(C78)/(C76/C83)</f>
        <v>849.24236944886445</v>
      </c>
      <c r="D85" s="204">
        <f>(D78)/(D76/D83)</f>
        <v>796.17233762571664</v>
      </c>
      <c r="E85" s="204">
        <f>IFERROR((E78)/(E76/E83),0)</f>
        <v>830.57161199814539</v>
      </c>
      <c r="F85" s="204">
        <f>(F78)/(F76/F83)</f>
        <v>889.55582439219734</v>
      </c>
      <c r="H85" s="204">
        <f>(H78)/(H76/H83)</f>
        <v>993.71649505514631</v>
      </c>
      <c r="I85" s="204">
        <f>(I78)/(I76/I83)</f>
        <v>889.55582439219734</v>
      </c>
      <c r="J85" s="205">
        <f>I85-H85</f>
        <v>-104.16067066294897</v>
      </c>
      <c r="K85" s="74">
        <f>I85/H85-1</f>
        <v>-0.1048193032733834</v>
      </c>
      <c r="M85" s="204">
        <f>(M78)/(M76/M83)</f>
        <v>1178.4682762359266</v>
      </c>
      <c r="N85" s="204">
        <f>IF(N76="n/a","-",(N78/(N76/N83)))</f>
        <v>3325.9580471035611</v>
      </c>
      <c r="O85" s="205">
        <f>N85-M85</f>
        <v>2147.4897708676344</v>
      </c>
      <c r="P85" s="203">
        <f>N85/M85-1</f>
        <v>1.8222720239248189</v>
      </c>
    </row>
    <row r="86" spans="2:20">
      <c r="B86" s="182" t="s">
        <v>126</v>
      </c>
      <c r="C86" s="184">
        <f>IF(C84=0,"n/a",SUMIFS(Inventory!$B$4:$ZZ$4,Inventory!$B$3:$ZZ$3,"&gt;"&amp;EOMONTH(Summary!C73,-3),Inventory!$B$3:$ZZ$3,"&lt;="&amp;Summary!C73)/C85-1)</f>
        <v>0.28545949417847494</v>
      </c>
      <c r="D86" s="184">
        <f>IF(D84=0,"n/a",SUMIFS(Inventory!$B$4:$ZZ$4,Inventory!$B$3:$ZZ$3,"&gt;"&amp;EOMONTH(Summary!D73,-3),Inventory!$B$3:$ZZ$3,"&lt;="&amp;Summary!D73)/D85-1)</f>
        <v>0.97067886668726788</v>
      </c>
      <c r="E86" s="184">
        <f>IF(E84=0,"n/a",SUMIFS(Inventory!$B$4:$ZZ$4,Inventory!$B$3:$ZZ$3,"&gt;"&amp;EOMONTH(Summary!E73,-3),Inventory!$B$3:$ZZ$3,"&lt;="&amp;Summary!E73)/E85-1)</f>
        <v>0.88906047032522895</v>
      </c>
      <c r="F86" s="184">
        <f>IF(F84=0,"n/a",SUMIFS(Inventory!$B$4:$ZZ$4,Inventory!$B$3:$ZZ$3,"&gt;"&amp;EOMONTH(Summary!F73,-3),Inventory!$B$3:$ZZ$3,"&lt;="&amp;Summary!F73)/F85-1)</f>
        <v>-9.6180859678404174E-3</v>
      </c>
      <c r="G86" s="28"/>
      <c r="H86" s="184">
        <f>IF(H84=0,"n/a",HLOOKUP(Summary!H73,Inventory!$B$3:$ZZ$6,3)/H85-1)</f>
        <v>0.4460864916207854</v>
      </c>
      <c r="I86" s="184">
        <f>IF(I84=0,"n/a",HLOOKUP(Summary!I73,Inventory!$B$3:$ZZ$6,3)/I85-1)</f>
        <v>-9.6180859678404174E-3</v>
      </c>
      <c r="J86" s="28"/>
      <c r="K86" s="184">
        <f>IFERROR(I86/H86-1,"n/a")</f>
        <v>-1.021561033899266</v>
      </c>
      <c r="L86" s="28"/>
      <c r="M86" s="184">
        <f>HLOOKUP(Summary!M73,Inventory!$B$3:$ZZ$6,4)/M85-1</f>
        <v>4.2933117724003687</v>
      </c>
      <c r="N86" s="184">
        <f>HLOOKUP(Summary!N73,Inventory!$B$3:$ZZ$6,4)/N85-1</f>
        <v>0.53659985913452379</v>
      </c>
      <c r="O86" s="28"/>
      <c r="P86" s="407">
        <f>IFERROR(N86/M86-1,"n/a")</f>
        <v>-0.87501493309103118</v>
      </c>
    </row>
    <row r="87" spans="2:20" ht="5.25" customHeight="1">
      <c r="D87" s="467"/>
    </row>
    <row r="88" spans="2:20" ht="12.75" customHeight="1">
      <c r="B88" s="688" t="str">
        <f>"Quarterly Balance Sheet Summary ($000s)"</f>
        <v>Quarterly Balance Sheet Summary ($000s)</v>
      </c>
      <c r="C88" s="689"/>
      <c r="D88" s="689"/>
      <c r="E88" s="689"/>
      <c r="F88" s="690"/>
      <c r="G88" s="341"/>
      <c r="H88" s="700" t="s">
        <v>127</v>
      </c>
      <c r="I88" s="701"/>
      <c r="J88" s="701"/>
      <c r="K88" s="701"/>
      <c r="L88" s="701"/>
      <c r="M88" s="701"/>
      <c r="N88" s="701"/>
      <c r="O88" s="701"/>
      <c r="P88" s="702"/>
      <c r="S88" s="730"/>
      <c r="T88" s="730"/>
    </row>
    <row r="89" spans="2:20">
      <c r="B89" s="344"/>
      <c r="C89" s="70">
        <f>EOMONTH(D89,-3)</f>
        <v>45838</v>
      </c>
      <c r="D89" s="70">
        <f>EOMONTH(E89,-3)</f>
        <v>45930</v>
      </c>
      <c r="E89" s="70">
        <f>EOMONTH(F89,-3)</f>
        <v>46022</v>
      </c>
      <c r="F89" s="70">
        <f>$K$2</f>
        <v>46112</v>
      </c>
      <c r="G89" s="342"/>
      <c r="H89" s="677" t="s">
        <v>72</v>
      </c>
      <c r="I89" s="678"/>
      <c r="J89" s="333" t="s">
        <v>128</v>
      </c>
      <c r="K89" s="334" t="s">
        <v>129</v>
      </c>
      <c r="L89" s="695">
        <f>K2</f>
        <v>46112</v>
      </c>
      <c r="M89" s="696"/>
      <c r="N89" s="356" t="s">
        <v>130</v>
      </c>
      <c r="O89" s="334" t="s">
        <v>131</v>
      </c>
      <c r="P89" s="334" t="s">
        <v>132</v>
      </c>
      <c r="S89" s="31"/>
      <c r="T89" s="85"/>
    </row>
    <row r="90" spans="2:20">
      <c r="B90" s="340" t="str">
        <f>'Balance Sheet'!B4</f>
        <v>Cash &amp; Equivalent</v>
      </c>
      <c r="C90" s="346">
        <f>INDEX('Balance Sheet'!$B$3:$ZZ$13,MATCH(Summary!$B90,'Balance Sheet'!$B$3:$B$13,0),MATCH(Summary!C$73,'Balance Sheet'!$B$3:$ZZ$3,0))</f>
        <v>59560</v>
      </c>
      <c r="D90" s="346">
        <f>INDEX('Balance Sheet'!$B$3:$ZZ$13,MATCH(Summary!$B90,'Balance Sheet'!$B$3:$B$13,0),MATCH(Summary!D$73,'Balance Sheet'!$B$3:$ZZ$3,0))</f>
        <v>61979</v>
      </c>
      <c r="E90" s="346">
        <f>INDEX('Balance Sheet'!$B$3:$ZZ$13,MATCH(Summary!$B90,'Balance Sheet'!$B$3:$B$13,0),MATCH(Summary!E$73,'Balance Sheet'!$B$3:$ZZ$3,0))</f>
        <v>61247</v>
      </c>
      <c r="F90" s="347">
        <f>INDEX('Balance Sheet'!$B$3:$ZZ$13,MATCH(Summary!$B90,'Balance Sheet'!$B$3:$B$13,0),MATCH(Summary!F$73,'Balance Sheet'!$B$3:$ZZ$3,0))</f>
        <v>60860</v>
      </c>
      <c r="G90" s="339"/>
      <c r="H90" s="159" t="str">
        <f>Covenants!B9</f>
        <v>Liquidity</v>
      </c>
      <c r="I90" s="357"/>
      <c r="J90" s="313" t="s">
        <v>133</v>
      </c>
      <c r="K90" s="669">
        <f>INDEX(Covenants!$B$3:$ZZ$13,MATCH(Summary!$K$89,Covenants!$B$3:$B$13,0),MATCH(Summary!$L$89,Covenants!$B$3:$ZZ$3,0))</f>
        <v>100000</v>
      </c>
      <c r="L90" s="697">
        <f>INDEX(Covenants!$B$3:$ZZ$13,MATCH(Summary!$H$90,Covenants!$B$3:$B$13,0),MATCH(Summary!$L$89,Covenants!$B$3:$ZZ$3,0))</f>
        <v>354966</v>
      </c>
      <c r="M90" s="697"/>
      <c r="N90" s="581" t="str">
        <f>INDEX(Covenants!$B$3:$ZZ$13,MATCH(Summary!$N$89,Covenants!$B$3:$B$13,0),MATCH(Summary!$L$89,Covenants!$B$3:$ZZ$3,0))</f>
        <v>Compliant</v>
      </c>
      <c r="O90" s="522">
        <f>INDEX(Covenants!$B$3:$ZZ$13,MATCH(Summary!$O$89,Covenants!$B$3:$B$13,0),MATCH(Summary!$L$89,Covenants!$B$3:$ZZ$3,0))</f>
        <v>254966</v>
      </c>
      <c r="P90" s="582">
        <f>INDEX(Covenants!$B$3:$ZZ$13,MATCH(Summary!$P$89,Covenants!$B$3:$B$13,0),MATCH(Summary!$L$89,Covenants!$B$3:$ZZ$3,0))</f>
        <v>2.5496599999999998</v>
      </c>
    </row>
    <row r="91" spans="2:20">
      <c r="B91" s="348" t="str">
        <f>'Balance Sheet'!B6</f>
        <v>Current Assets</v>
      </c>
      <c r="C91" s="78">
        <f>INDEX('Balance Sheet'!$B$3:$ZZ$13,MATCH(Summary!$B91,'Balance Sheet'!$B$3:$B$13,0),MATCH(Summary!C$73,'Balance Sheet'!$B$3:$ZZ$3,0))</f>
        <v>3744599</v>
      </c>
      <c r="D91" s="78">
        <f>INDEX('Balance Sheet'!$B$3:$ZZ$13,MATCH(Summary!$B91,'Balance Sheet'!$B$3:$B$13,0),MATCH(Summary!D$73,'Balance Sheet'!$B$3:$ZZ$3,0))</f>
        <v>3730163</v>
      </c>
      <c r="E91" s="78">
        <f>INDEX('Balance Sheet'!$B$3:$ZZ$13,MATCH(Summary!$B91,'Balance Sheet'!$B$3:$B$13,0),MATCH(Summary!E$73,'Balance Sheet'!$B$3:$ZZ$3,0))</f>
        <v>3614277</v>
      </c>
      <c r="F91" s="349">
        <f>INDEX('Balance Sheet'!$B$3:$ZZ$13,MATCH(Summary!$B91,'Balance Sheet'!$B$3:$B$13,0),MATCH(Summary!F$73,'Balance Sheet'!$B$3:$ZZ$3,0))</f>
        <v>3601591</v>
      </c>
      <c r="G91" s="339"/>
      <c r="H91" s="2" t="str">
        <f>Covenants!B21</f>
        <v>Effective Tangible Net Worth</v>
      </c>
      <c r="I91" s="32"/>
      <c r="J91" s="335" t="s">
        <v>133</v>
      </c>
      <c r="K91" s="670">
        <f>INDEX(Covenants!$B$15:$ZZ$26,MATCH(Summary!$K$89,Covenants!$B$15:$B$26,0),MATCH(Summary!$L$89,Covenants!$B$15:$ZZ$15,0))</f>
        <v>1556411</v>
      </c>
      <c r="L91" s="698">
        <f>INDEX(Covenants!$B$15:$ZZ$26,MATCH(Summary!$H$91,Covenants!$B$15:$B$26,0),MATCH(Summary!$L$89,Covenants!$B$15:$ZZ$15,0))</f>
        <v>2072554</v>
      </c>
      <c r="M91" s="698" t="e">
        <f>INDEX(Covenants!$B$15:$AE$26,MATCH(Summary!$K$89,Covenants!$B$15:$B$26,0),MATCH(Summary!$L$89,Covenants!$B$15:$AE$15,0))</f>
        <v>#N/A</v>
      </c>
      <c r="N91" s="523" t="str">
        <f>INDEX(Covenants!$B$15:$ZZ$26,MATCH(Summary!$N$89,Covenants!$B$15:$B$26,0),MATCH(Summary!$L$89,Covenants!$B$15:$ZZ$15,0))</f>
        <v>Compliant</v>
      </c>
      <c r="O91" s="524">
        <f>INDEX(Covenants!$B$15:$ZZ$26,MATCH(Summary!$O$89,Covenants!$B$15:$B$26,0),MATCH(Summary!$L$89,Covenants!$B$15:$ZZ$15,0))</f>
        <v>516143</v>
      </c>
      <c r="P91" s="583">
        <f>INDEX(Covenants!$B$15:$ZZ$26,MATCH(Summary!$P$89,Covenants!$B$15:$B$26,0),MATCH(Summary!$L$89,Covenants!$B$15:$ZZ$15,0))</f>
        <v>0.33162384485845964</v>
      </c>
    </row>
    <row r="92" spans="2:20">
      <c r="B92" s="352" t="str">
        <f>'Balance Sheet'!B7</f>
        <v>Total Assets</v>
      </c>
      <c r="C92" s="84">
        <f>INDEX('Balance Sheet'!$B$3:$ZZ$13,MATCH(Summary!$B92,'Balance Sheet'!$B$3:$B$13,0),MATCH(Summary!C$73,'Balance Sheet'!$B$3:$ZZ$3,0))</f>
        <v>4006078</v>
      </c>
      <c r="D92" s="84">
        <f>INDEX('Balance Sheet'!$B$3:$ZZ$13,MATCH(Summary!$B92,'Balance Sheet'!$B$3:$B$13,0),MATCH(Summary!D$73,'Balance Sheet'!$B$3:$ZZ$3,0))</f>
        <v>4039831</v>
      </c>
      <c r="E92" s="84">
        <f>INDEX('Balance Sheet'!$B$3:$ZZ$13,MATCH(Summary!$B92,'Balance Sheet'!$B$3:$B$13,0),MATCH(Summary!E$73,'Balance Sheet'!$B$3:$ZZ$3,0))</f>
        <v>3927242</v>
      </c>
      <c r="F92" s="350">
        <f>INDEX('Balance Sheet'!$B$3:$ZZ$13,MATCH(Summary!$B92,'Balance Sheet'!$B$3:$B$13,0),MATCH(Summary!F$73,'Balance Sheet'!$B$3:$ZZ$3,0))</f>
        <v>4010165</v>
      </c>
      <c r="G92" s="339"/>
      <c r="H92" s="2" t="str">
        <f>Covenants!B32</f>
        <v>Maintenance Leverage Ratio</v>
      </c>
      <c r="I92" s="32"/>
      <c r="J92" s="335" t="s">
        <v>133</v>
      </c>
      <c r="K92" s="584">
        <f>INDEX(Covenants!$B$28:$ZZ$36,MATCH(Summary!$K$89,Covenants!$B$28:$B$36,0),MATCH(Summary!$L$89,Covenants!$B$28:$ZZ$28,0))</f>
        <v>0.55000000000000004</v>
      </c>
      <c r="L92" s="699">
        <f>INDEX(Covenants!$B$28:$ZZ$36,MATCH(Summary!$H$92,Covenants!$B$28:$B$36,0),MATCH(Summary!$L$89,Covenants!$B$28:$ZZ$28,0))</f>
        <v>0.45199683448831851</v>
      </c>
      <c r="M92" s="699" t="e">
        <f>INDEX(Covenants!$B$15:$AE$26,MATCH(Summary!$K$89,Covenants!$B$15:$B$26,0),MATCH(Summary!$L$89,Covenants!$B$15:$AE$15,0))</f>
        <v>#N/A</v>
      </c>
      <c r="N92" s="523" t="str">
        <f>INDEX(Covenants!$B$28:$ZZ$36,MATCH(Summary!$N$89,Covenants!$B$28:$B$36,0),MATCH(Summary!$L$89,Covenants!$B$28:$ZZ$28,0))</f>
        <v>Compliant</v>
      </c>
      <c r="O92" s="524">
        <f>INDEX(Covenants!$B$28:$ZZ$36,MATCH(Summary!$O$89,Covenants!$B$28:$B$36,0),MATCH(Summary!$L$89,Covenants!$B$28:$ZZ$28,0))</f>
        <v>370649.05000000028</v>
      </c>
      <c r="P92" s="583">
        <f>INDEX(Covenants!$B$28:$ZZ$36,MATCH(Summary!$P$89,Covenants!$B$28:$B$36,0),MATCH(Summary!$L$89,Covenants!$B$28:$ZZ$28,0))</f>
        <v>0.21682268112037928</v>
      </c>
    </row>
    <row r="93" spans="2:20">
      <c r="B93" s="348" t="str">
        <f>'Balance Sheet'!B9</f>
        <v>Current Liabilities</v>
      </c>
      <c r="C93" s="78">
        <f>INDEX('Balance Sheet'!$B$3:$ZZ$13,MATCH(Summary!$B93,'Balance Sheet'!$B$3:$B$13,0),MATCH(Summary!C$73,'Balance Sheet'!$B$3:$ZZ$3,0))</f>
        <v>848933</v>
      </c>
      <c r="D93" s="78">
        <f>INDEX('Balance Sheet'!$B$3:$ZZ$13,MATCH(Summary!$B93,'Balance Sheet'!$B$3:$B$13,0),MATCH(Summary!D$73,'Balance Sheet'!$B$3:$ZZ$3,0))</f>
        <v>860457</v>
      </c>
      <c r="E93" s="78">
        <f>INDEX('Balance Sheet'!$B$3:$ZZ$13,MATCH(Summary!$B93,'Balance Sheet'!$B$3:$B$13,0),MATCH(Summary!E$73,'Balance Sheet'!$B$3:$ZZ$3,0))</f>
        <v>680953</v>
      </c>
      <c r="F93" s="349">
        <f>INDEX('Balance Sheet'!$B$3:$ZZ$13,MATCH(Summary!$B93,'Balance Sheet'!$B$3:$B$13,0),MATCH(Summary!F$73,'Balance Sheet'!$B$3:$ZZ$3,0))</f>
        <v>578870</v>
      </c>
      <c r="G93" s="339"/>
      <c r="H93" s="2" t="str">
        <f>Covenants!B49</f>
        <v>Permitted Investments</v>
      </c>
      <c r="I93" s="32"/>
      <c r="J93" s="335" t="s">
        <v>133</v>
      </c>
      <c r="K93" s="660">
        <f>INDEX(Covenants!$B$46:$ZZ$53,MATCH(Summary!$K$89,Covenants!$B$46:$B$53,0),MATCH(Summary!$L$89,Covenants!$B$46:$ZZ$46,0))</f>
        <v>520369</v>
      </c>
      <c r="L93" s="691">
        <f>INDEX(Covenants!$B$46:$ZZ$53,MATCH(Summary!$H$93,Covenants!$B$46:$B$53,0),MATCH(Summary!$L$89,Covenants!$B$46:$ZZ$46,0))</f>
        <v>23135</v>
      </c>
      <c r="M93" s="691"/>
      <c r="N93" s="523" t="str">
        <f>INDEX(Covenants!$B$46:$ZZ$53,MATCH(Summary!$N$89,Covenants!$B$46:$B$53,0),MATCH(Summary!$L$89,Covenants!$B$46:$ZZ$46,0))</f>
        <v>Compliant</v>
      </c>
      <c r="O93" s="524">
        <f>INDEX(Covenants!$B$46:$ZZ$53,MATCH(Summary!$O$89,Covenants!$B$46:$B$53,0),MATCH(Summary!$L$89,Covenants!$B$46:$ZZ$46,0))</f>
        <v>497234</v>
      </c>
      <c r="P93" s="583">
        <f>INDEX(Covenants!$B$46:$ZZ$53,MATCH(Summary!$P$89,Covenants!$B$46:$B$53,0),MATCH(Summary!$L$89,Covenants!$B$46:$ZZ$46,0))</f>
        <v>4.6527389518818074E-2</v>
      </c>
    </row>
    <row r="94" spans="2:20">
      <c r="B94" s="352" t="str">
        <f>'Balance Sheet'!B11</f>
        <v>Total Liabilities</v>
      </c>
      <c r="C94" s="84">
        <f>INDEX('Balance Sheet'!$B$3:$ZZ$13,MATCH(Summary!$B94,'Balance Sheet'!$B$3:$B$13,0),MATCH(Summary!C$73,'Balance Sheet'!$B$3:$ZZ$3,0))</f>
        <v>1948933</v>
      </c>
      <c r="D94" s="84">
        <f>INDEX('Balance Sheet'!$B$3:$ZZ$13,MATCH(Summary!$B94,'Balance Sheet'!$B$3:$B$13,0),MATCH(Summary!D$73,'Balance Sheet'!$B$3:$ZZ$3,0))</f>
        <v>1960457</v>
      </c>
      <c r="E94" s="84">
        <f>INDEX('Balance Sheet'!$B$3:$ZZ$13,MATCH(Summary!$B94,'Balance Sheet'!$B$3:$B$13,0),MATCH(Summary!E$73,'Balance Sheet'!$B$3:$ZZ$3,0))</f>
        <v>1830953</v>
      </c>
      <c r="F94" s="350">
        <f>INDEX('Balance Sheet'!$B$3:$ZZ$13,MATCH(Summary!$B94,'Balance Sheet'!$B$3:$B$13,0),MATCH(Summary!F$73,'Balance Sheet'!$B$3:$ZZ$3,0))</f>
        <v>1907751</v>
      </c>
      <c r="G94" s="339"/>
      <c r="H94" s="1" t="str">
        <f>Covenants!B64</f>
        <v>Maximum Housing Inventory</v>
      </c>
      <c r="I94" s="32"/>
      <c r="J94" s="335" t="s">
        <v>133</v>
      </c>
      <c r="K94" s="585">
        <f>INDEX(Covenants!$B$55:$ZZ$68,MATCH(Summary!$K$89,Covenants!$B$55:$B$68,0),MATCH(Summary!$L$89,Covenants!$B$55:$ZZ$55,0))</f>
        <v>0.65</v>
      </c>
      <c r="L94" s="692">
        <f>INDEX(Covenants!$B$55:$ZZ$68,MATCH(H94,Covenants!$B$55:$B$68,0),MATCH($L$89,Covenants!$B$55:$ZZ$55,0))</f>
        <v>3185</v>
      </c>
      <c r="M94" s="692"/>
      <c r="N94" s="523" t="str">
        <f>INDEX(Covenants!$B$55:$ZZ$68,MATCH(Summary!N$89,Covenants!$B$55:$B$68,0),MATCH(Summary!$L$89,Covenants!$B$55:$ZZ$55,0))</f>
        <v>Compliant</v>
      </c>
      <c r="O94" s="662">
        <f>INDEX(Covenants!$B$55:$ZZ$68,MATCH(Summary!O$89,Covenants!$B$55:$B$68,0),MATCH(Summary!$L$89,Covenants!$B$55:$ZZ$55,0))</f>
        <v>1365</v>
      </c>
      <c r="P94" s="583">
        <f>INDEX(Covenants!$B$55:$ZZ$68,MATCH(Summary!P$89,Covenants!$B$55:$B$68,0),MATCH(Summary!$L$89,Covenants!$B$55:$ZZ$55,0))</f>
        <v>0.42857142857142855</v>
      </c>
    </row>
    <row r="95" spans="2:20" ht="12.75" customHeight="1">
      <c r="B95" s="352" t="str">
        <f>'Balance Sheet'!B12</f>
        <v>Total Net Worth</v>
      </c>
      <c r="C95" s="84">
        <f>INDEX('Balance Sheet'!$B$3:$ZZ$13,MATCH(Summary!$B95,'Balance Sheet'!$B$3:$B$13,0),MATCH(Summary!C$73,'Balance Sheet'!$B$3:$ZZ$3,0))</f>
        <v>2057145</v>
      </c>
      <c r="D95" s="84">
        <f>INDEX('Balance Sheet'!$B$3:$ZZ$13,MATCH(Summary!$B95,'Balance Sheet'!$B$3:$B$13,0),MATCH(Summary!D$73,'Balance Sheet'!$B$3:$ZZ$3,0))</f>
        <v>2079374</v>
      </c>
      <c r="E95" s="84">
        <f>INDEX('Balance Sheet'!$B$3:$ZZ$13,MATCH(Summary!$B95,'Balance Sheet'!$B$3:$B$13,0),MATCH(Summary!E$73,'Balance Sheet'!$B$3:$ZZ$3,0))</f>
        <v>2096289</v>
      </c>
      <c r="F95" s="350">
        <f>INDEX('Balance Sheet'!$B$3:$ZZ$13,MATCH(Summary!$B95,'Balance Sheet'!$B$3:$B$13,0),MATCH(Summary!F$73,'Balance Sheet'!$B$3:$ZZ$3,0))</f>
        <v>2102414</v>
      </c>
      <c r="G95" s="343"/>
      <c r="H95" s="1" t="str">
        <f>Covenants!B81</f>
        <v>Letters of Credit Issued</v>
      </c>
      <c r="I95" s="32"/>
      <c r="J95" s="335" t="s">
        <v>133</v>
      </c>
      <c r="K95" s="588">
        <f>INDEX(Covenants!$B$79:$ZZ$85,MATCH($K$89,Covenants!$B$79:$B$85,0),MATCH(Summary!$L$89,Covenants!$B$79:$ZZ$79,0))</f>
        <v>0</v>
      </c>
      <c r="L95" s="693">
        <f>INDEX(Covenants!$B$79:$ZZ$85,MATCH(H95,Covenants!$B$79:$B$85,0),MATCH(Summary!$L$89,Covenants!$B$79:$ZZ$79,0))</f>
        <v>0</v>
      </c>
      <c r="M95" s="694"/>
      <c r="N95" s="523" t="str">
        <f>INDEX(Covenants!$B$79:$ZZ$85,MATCH(N$89,Covenants!$B$79:$B$85,0),MATCH(Summary!$L$89,Covenants!$B$79:$ZZ$79,0))</f>
        <v>Compliant</v>
      </c>
      <c r="O95" s="588">
        <f>INDEX(Covenants!$B$79:$ZZ$85,MATCH(O$89,Covenants!$B$79:$B$85,0),MATCH(Summary!$L$89,Covenants!$B$79:$ZZ$79,0))</f>
        <v>0</v>
      </c>
      <c r="P95" s="583" t="str">
        <f>INDEX(Covenants!$B$79:$ZZ$85,MATCH(P$89,Covenants!$B$79:$B$85,0),MATCH(Summary!$L$89,Covenants!$B$79:$ZZ$79,0))</f>
        <v>NA</v>
      </c>
    </row>
    <row r="96" spans="2:20" ht="12.75" customHeight="1">
      <c r="B96" s="364" t="s">
        <v>134</v>
      </c>
      <c r="C96" s="78">
        <f>INDEX('Balance Sheet'!$B$3:$ZZ$13,MATCH(Summary!$B96,'Balance Sheet'!$B$3:$B$13,0),MATCH(Summary!C$73,'Balance Sheet'!$B$3:$ZZ$3,0))</f>
        <v>-22451</v>
      </c>
      <c r="D96" s="78">
        <f>INDEX('Balance Sheet'!$B$3:$ZZ$13,MATCH(Summary!$B96,'Balance Sheet'!$B$3:$B$13,0),MATCH(Summary!D$73,'Balance Sheet'!$B$3:$ZZ$3,0))</f>
        <v>-21642</v>
      </c>
      <c r="E96" s="78">
        <f>INDEX('Balance Sheet'!$B$3:$ZZ$13,MATCH(Summary!$B96,'Balance Sheet'!$B$3:$B$13,0),MATCH(Summary!E$73,'Balance Sheet'!$B$3:$ZZ$3,0))</f>
        <v>-21922</v>
      </c>
      <c r="F96" s="349">
        <f>INDEX('Balance Sheet'!$B$3:$ZZ$13,MATCH(Summary!$B96,'Balance Sheet'!$B$3:$B$13,0),MATCH(Summary!F$73,'Balance Sheet'!$B$3:$ZZ$3,0))</f>
        <v>-20939</v>
      </c>
      <c r="G96" s="339"/>
      <c r="H96" s="79" t="str">
        <f>Covenants!B90</f>
        <v>Interest Coverage Ratio</v>
      </c>
      <c r="I96" s="80"/>
      <c r="J96" s="658" t="s">
        <v>133</v>
      </c>
      <c r="K96" s="664">
        <f>INDEX(Covenants!$B$87:$ZZ$94,MATCH($K$89,Covenants!$B$87:$B$94,0),MATCH(Summary!$L$89,Covenants!$B$87:$ZZ$87,0))</f>
        <v>1.1499999999999999</v>
      </c>
      <c r="L96" s="712">
        <f>INDEX(Covenants!$B$87:$ZZ$94,MATCH(H96,Covenants!$B$87:$B$94,0),MATCH(Summary!$L$89,Covenants!$B$87:$ZZ$87,0))</f>
        <v>1.3720033674007286</v>
      </c>
      <c r="M96" s="712"/>
      <c r="N96" s="664" t="str">
        <f>INDEX(Covenants!$B$87:$ZZ$94,MATCH(N$89,Covenants!$B$87:$B$94,0),MATCH(Summary!$L$89,Covenants!$B$87:$ZZ$87,0))</f>
        <v>Compliant</v>
      </c>
      <c r="O96" s="663">
        <f>INDEX(Covenants!$B$87:$ZZ$94,MATCH(O$89,Covenants!$B$87:$B$94,0),MATCH(Summary!$L$89,Covenants!$B$87:$ZZ$87,0))</f>
        <v>73439.449999999983</v>
      </c>
      <c r="P96" s="665">
        <f>INDEX(Covenants!$B$87:$ZZ$94,MATCH(P$89,Covenants!$B$87:$B$94,0),MATCH(Summary!$L$89,Covenants!$B$87:$ZZ$87,0))</f>
        <v>0.19304640643541626</v>
      </c>
    </row>
    <row r="97" spans="2:16" ht="12.75" customHeight="1">
      <c r="B97" s="352" t="s">
        <v>135</v>
      </c>
      <c r="C97" s="84">
        <f>C92-C94+C96</f>
        <v>2034694</v>
      </c>
      <c r="D97" s="84">
        <f>D92-D94+D96</f>
        <v>2057732</v>
      </c>
      <c r="E97" s="84">
        <f>E92-E94+E96</f>
        <v>2074367</v>
      </c>
      <c r="F97" s="350">
        <f>F92-F94+F96</f>
        <v>2081475</v>
      </c>
      <c r="G97" s="339"/>
    </row>
    <row r="98" spans="2:16">
      <c r="B98" s="365" t="s">
        <v>136</v>
      </c>
      <c r="C98" s="78">
        <f>INDEX('Balance Sheet'!$B$3:$ZZ$13,MATCH(Summary!$B98,'Balance Sheet'!$B$3:$B$13,0),MATCH(Summary!C$73,'Balance Sheet'!$B$3:$ZZ$3,0))</f>
        <v>0</v>
      </c>
      <c r="D98" s="78">
        <f>INDEX('Balance Sheet'!$B$3:$ZZ$13,MATCH(Summary!$B98,'Balance Sheet'!$B$3:$B$13,0),MATCH(Summary!D$73,'Balance Sheet'!$B$3:$ZZ$3,0))</f>
        <v>0</v>
      </c>
      <c r="E98" s="78">
        <f>INDEX('Balance Sheet'!$B$3:$ZZ$13,MATCH(Summary!$B98,'Balance Sheet'!$B$3:$B$13,0),MATCH(Summary!E$73,'Balance Sheet'!$B$3:$ZZ$3,0))</f>
        <v>0</v>
      </c>
      <c r="F98" s="349">
        <f>INDEX('Balance Sheet'!$B$3:$ZZ$13,MATCH(Summary!$B98,'Balance Sheet'!$B$3:$B$13,0),MATCH(Summary!F$73,'Balance Sheet'!$B$3:$ZZ$3,0))</f>
        <v>0</v>
      </c>
      <c r="G98" s="339"/>
    </row>
    <row r="99" spans="2:16" ht="12.75" customHeight="1">
      <c r="B99" s="415" t="s">
        <v>137</v>
      </c>
      <c r="C99" s="416">
        <f>SUM(C97:C98)</f>
        <v>2034694</v>
      </c>
      <c r="D99" s="416">
        <f t="shared" ref="D99:F99" si="9">SUM(D97:D98)</f>
        <v>2057732</v>
      </c>
      <c r="E99" s="416">
        <f t="shared" si="9"/>
        <v>2074367</v>
      </c>
      <c r="F99" s="640">
        <f t="shared" si="9"/>
        <v>2081475</v>
      </c>
      <c r="G99" s="343"/>
      <c r="H99" s="700" t="s">
        <v>138</v>
      </c>
      <c r="I99" s="701"/>
      <c r="J99" s="701"/>
      <c r="K99" s="701"/>
      <c r="L99" s="701"/>
      <c r="M99" s="701"/>
      <c r="N99" s="701"/>
      <c r="O99" s="701"/>
      <c r="P99" s="702"/>
    </row>
    <row r="100" spans="2:16" ht="12.75" customHeight="1">
      <c r="B100" s="703" t="s">
        <v>444</v>
      </c>
      <c r="C100" s="704"/>
      <c r="D100" s="704"/>
      <c r="E100" s="704"/>
      <c r="F100" s="705"/>
      <c r="G100" s="345"/>
      <c r="H100" s="354" t="s">
        <v>139</v>
      </c>
      <c r="I100" s="355"/>
      <c r="J100" s="358" t="s">
        <v>140</v>
      </c>
      <c r="K100" s="334" t="s">
        <v>129</v>
      </c>
      <c r="L100" s="695">
        <f>$P$2</f>
        <v>46112</v>
      </c>
      <c r="M100" s="696"/>
      <c r="N100" s="334" t="s">
        <v>141</v>
      </c>
      <c r="O100" s="356" t="s">
        <v>142</v>
      </c>
      <c r="P100" s="353" t="s">
        <v>143</v>
      </c>
    </row>
    <row r="101" spans="2:16" ht="12.75" customHeight="1">
      <c r="B101" s="706"/>
      <c r="C101" s="707"/>
      <c r="D101" s="707"/>
      <c r="E101" s="707"/>
      <c r="F101" s="708"/>
      <c r="G101" s="345"/>
      <c r="H101" s="327" t="str">
        <f>Inventory!$B$61</f>
        <v>NA</v>
      </c>
      <c r="I101" s="357"/>
      <c r="J101" s="389" t="s">
        <v>21</v>
      </c>
      <c r="K101" s="328" t="s">
        <v>21</v>
      </c>
      <c r="L101" s="562" t="str">
        <f>IF(H101="NA","-",IF($L$100&gt;J101,INDEX(Inventory!$B$59:$ZZ$61,MATCH(Summary!$H101,Inventory!$B$59:$B$61,0),MATCH(Summary!$J101,Inventory!$B$59:$ZZ$59,0)),IF($L$100&lt;J101,INDEX(Inventory!$B$59:$ZZ$61,MATCH(Summary!$H101,Inventory!$B$59:$B$61,0),MATCH(Summary!$L$100,Inventory!$B$59:$ZZ$59,0)))))</f>
        <v>-</v>
      </c>
      <c r="M101" s="563"/>
      <c r="N101" s="330" t="str">
        <f>IFERROR(IF(AND($L$100&gt;=J101,L101&gt;=K101),"Complete",IF(AND($L$100&gt;=J101,L101&lt;K101),"Failed",L101/(_xlfn.DAYS($L$100,$C$16)/_xlfn.DAYS(J101,$C$16)))),"-")</f>
        <v>-</v>
      </c>
      <c r="O101" s="316" t="str">
        <f ca="1">IFERROR(IF(L101&gt;=K101,"Complete",_xlfn.DAYS(J101,TODAY())),"-")</f>
        <v>-</v>
      </c>
      <c r="P101" s="332" t="str">
        <f>IF(H101="NA","-",IF(N101="Complete","Complete",IF(N101&gt;=K101,"On Pace","Behind Pace")))</f>
        <v>-</v>
      </c>
    </row>
    <row r="102" spans="2:16" ht="12.75" customHeight="1">
      <c r="B102" s="706"/>
      <c r="C102" s="707"/>
      <c r="D102" s="707"/>
      <c r="E102" s="707"/>
      <c r="F102" s="708"/>
      <c r="G102" s="345"/>
      <c r="H102" s="2" t="str">
        <f>Inventory!$B$61</f>
        <v>NA</v>
      </c>
      <c r="I102" s="32"/>
      <c r="J102" s="390" t="s">
        <v>21</v>
      </c>
      <c r="K102" s="329" t="s">
        <v>21</v>
      </c>
      <c r="L102" s="564" t="str">
        <f>IF(H102="NA","-",IF($L$100&gt;J102,INDEX(Inventory!$B$59:$ZZ$61,MATCH(Summary!$H102,Inventory!$B$59:$B$61,0),MATCH(Summary!$J102,Inventory!$B$59:$ZZ$59,0)),IF($L$100&lt;J102,INDEX(Inventory!$B$59:$ZZ$61,MATCH(Summary!$H102,Inventory!$B$59:$B$61,0),MATCH(Summary!$L$100,Inventory!$B$59:$ZZ$59,0)))))</f>
        <v>-</v>
      </c>
      <c r="M102" s="565"/>
      <c r="N102" s="331" t="str">
        <f>IFERROR(IF(AND($L$100&gt;=J102,L102&gt;=K102),"Complete",IF(AND($L$100&gt;=J102,L102&lt;K102),"Failed",L102/(_xlfn.DAYS($L$100,$C$16)/_xlfn.DAYS(J102,$C$16)))),"-")</f>
        <v>-</v>
      </c>
      <c r="O102" s="315" t="str">
        <f t="shared" ref="O102:O103" ca="1" si="10">IFERROR(IF(L102&gt;=K102,"Complete",_xlfn.DAYS(J102,TODAY())),"-")</f>
        <v>-</v>
      </c>
      <c r="P102" s="411" t="str">
        <f t="shared" ref="P102:P103" si="11">IF(H102="NA","-",IF(N102="Complete","Complete",IF(N102&gt;=K102,"On Pace","Behind Pace")))</f>
        <v>-</v>
      </c>
    </row>
    <row r="103" spans="2:16">
      <c r="B103" s="709"/>
      <c r="C103" s="710"/>
      <c r="D103" s="710"/>
      <c r="E103" s="710"/>
      <c r="F103" s="711"/>
      <c r="G103" s="345"/>
      <c r="H103" s="3" t="str">
        <f>Inventory!$B$61</f>
        <v>NA</v>
      </c>
      <c r="I103" s="80"/>
      <c r="J103" s="604" t="s">
        <v>21</v>
      </c>
      <c r="K103" s="605" t="s">
        <v>21</v>
      </c>
      <c r="L103" s="606" t="str">
        <f>IF(H103="NA","-",IF($L$100&gt;J103,INDEX(Inventory!$B$59:$ZZ$61,MATCH(Summary!$H103,Inventory!$B$59:$B$61,0),MATCH(Summary!$J103,Inventory!$B$59:$ZZ$59,0)),IF($L$100&lt;J103,INDEX(Inventory!$B$59:$ZZ$61,MATCH(Summary!$H103,Inventory!$B$59:$B$61,0),MATCH(Summary!$L$100,Inventory!$B$59:$ZZ$59,0)))))</f>
        <v>-</v>
      </c>
      <c r="M103" s="607"/>
      <c r="N103" s="608" t="str">
        <f>IFERROR(IF(AND($L$100&gt;=J103,L103&gt;=K103),"Complete",IF(AND($L$100&gt;=J103,L103&lt;K103),"Failed",L103/(_xlfn.DAYS($L$100,$C$16)/_xlfn.DAYS(J103,$C$16)))),"-")</f>
        <v>-</v>
      </c>
      <c r="O103" s="295" t="str">
        <f t="shared" ca="1" si="10"/>
        <v>-</v>
      </c>
      <c r="P103" s="609" t="str">
        <f t="shared" si="11"/>
        <v>-</v>
      </c>
    </row>
    <row r="104" spans="2:16" ht="4.5" customHeight="1">
      <c r="H104" s="77"/>
      <c r="I104" s="77"/>
      <c r="J104" s="77"/>
      <c r="K104" s="77"/>
      <c r="L104" s="77"/>
      <c r="M104" s="81"/>
      <c r="N104" s="77"/>
      <c r="O104" s="77"/>
      <c r="P104" s="84"/>
    </row>
    <row r="105" spans="2:16">
      <c r="B105" s="685" t="str">
        <f>"Inventory and Sales / Closings -  "&amp;TEXT(P2,"mmm-yy")</f>
        <v>Inventory and Sales / Closings -  Mar-26</v>
      </c>
      <c r="C105" s="686"/>
      <c r="D105" s="686"/>
      <c r="E105" s="686"/>
      <c r="F105" s="686"/>
      <c r="G105" s="686"/>
      <c r="H105" s="686"/>
      <c r="I105" s="686"/>
      <c r="J105" s="686"/>
      <c r="K105" s="686"/>
      <c r="L105" s="686"/>
      <c r="M105" s="686"/>
      <c r="N105" s="686"/>
      <c r="O105" s="686"/>
      <c r="P105" s="687"/>
    </row>
    <row r="106" spans="2:16" ht="4.5" customHeight="1">
      <c r="B106" s="31"/>
      <c r="E106" s="85"/>
      <c r="G106" s="31"/>
      <c r="H106" s="31"/>
      <c r="I106" s="77"/>
      <c r="J106" s="85"/>
      <c r="K106" s="77"/>
      <c r="L106" s="77"/>
      <c r="N106" s="77"/>
      <c r="O106" s="77"/>
      <c r="P106" s="84"/>
    </row>
    <row r="107" spans="2:16">
      <c r="I107" s="77"/>
      <c r="J107" s="77"/>
      <c r="K107" s="77"/>
      <c r="L107" s="86"/>
      <c r="N107" s="77"/>
      <c r="O107" s="77"/>
      <c r="P107" s="84"/>
    </row>
    <row r="108" spans="2:16">
      <c r="H108" s="77"/>
      <c r="I108" s="77"/>
      <c r="J108" s="77"/>
      <c r="K108" s="77"/>
      <c r="L108" s="77"/>
      <c r="M108" s="81"/>
      <c r="N108" s="77"/>
      <c r="O108" s="77"/>
      <c r="P108" s="84"/>
    </row>
    <row r="109" spans="2:16">
      <c r="H109" s="77"/>
      <c r="I109" s="77"/>
      <c r="J109" s="77"/>
      <c r="K109" s="77"/>
      <c r="L109" s="77"/>
      <c r="M109" s="81"/>
      <c r="N109" s="77"/>
      <c r="O109" s="77"/>
      <c r="P109" s="84"/>
    </row>
    <row r="110" spans="2:16">
      <c r="H110" s="77"/>
      <c r="I110" s="77"/>
      <c r="J110" s="77"/>
      <c r="K110" s="77"/>
      <c r="L110" s="77"/>
      <c r="M110" s="81"/>
      <c r="N110" s="77"/>
      <c r="O110" s="77"/>
      <c r="P110" s="84"/>
    </row>
    <row r="111" spans="2:16">
      <c r="H111" s="77"/>
      <c r="I111" s="77"/>
      <c r="J111" s="77"/>
      <c r="K111" s="77"/>
      <c r="L111" s="77"/>
      <c r="M111" s="81"/>
      <c r="N111" s="77"/>
      <c r="O111" s="77"/>
      <c r="P111" s="84"/>
    </row>
    <row r="112" spans="2:16">
      <c r="H112" s="77"/>
      <c r="I112" s="77"/>
      <c r="J112" s="77"/>
      <c r="K112" s="77"/>
      <c r="L112" s="77"/>
      <c r="M112" s="81"/>
      <c r="N112" s="77"/>
      <c r="O112" s="77"/>
      <c r="P112" s="84"/>
    </row>
    <row r="113" spans="8:16">
      <c r="H113" s="77"/>
      <c r="I113" s="77"/>
      <c r="J113" s="77"/>
      <c r="K113" s="77"/>
      <c r="L113" s="77"/>
      <c r="M113" s="81"/>
      <c r="N113" s="77"/>
      <c r="O113" s="77"/>
      <c r="P113" s="84"/>
    </row>
    <row r="114" spans="8:16">
      <c r="H114" s="77"/>
      <c r="I114" s="77"/>
      <c r="J114" s="77"/>
      <c r="K114" s="77"/>
      <c r="L114" s="77"/>
      <c r="M114" s="81"/>
      <c r="N114" s="77"/>
      <c r="O114" s="77"/>
      <c r="P114" s="84"/>
    </row>
    <row r="115" spans="8:16">
      <c r="H115" s="77"/>
      <c r="I115" s="77"/>
      <c r="J115" s="77"/>
      <c r="K115" s="77"/>
      <c r="L115" s="77"/>
      <c r="M115" s="81"/>
      <c r="N115" s="77"/>
      <c r="O115" s="77"/>
      <c r="P115" s="84"/>
    </row>
    <row r="116" spans="8:16">
      <c r="H116" s="77"/>
      <c r="I116" s="77"/>
      <c r="J116" s="77"/>
      <c r="K116" s="77"/>
      <c r="L116" s="77"/>
      <c r="M116" s="81"/>
      <c r="N116" s="77"/>
      <c r="O116" s="77"/>
      <c r="P116" s="84"/>
    </row>
    <row r="117" spans="8:16">
      <c r="H117" s="77"/>
      <c r="I117" s="77"/>
      <c r="J117" s="77"/>
      <c r="K117" s="77"/>
      <c r="L117" s="77"/>
      <c r="M117" s="81"/>
      <c r="N117" s="77"/>
      <c r="O117" s="77"/>
      <c r="P117" s="84"/>
    </row>
    <row r="118" spans="8:16">
      <c r="H118" s="77"/>
      <c r="I118" s="77"/>
      <c r="J118" s="77"/>
      <c r="K118" s="77"/>
      <c r="L118" s="77"/>
      <c r="M118" s="90"/>
      <c r="N118" s="77"/>
      <c r="O118" s="77"/>
      <c r="P118" s="84"/>
    </row>
    <row r="119" spans="8:16">
      <c r="H119" s="77"/>
      <c r="I119" s="77"/>
      <c r="J119" s="77"/>
      <c r="K119" s="77"/>
      <c r="L119" s="77"/>
      <c r="M119" s="81"/>
      <c r="N119" s="77"/>
      <c r="O119" s="77"/>
      <c r="P119" s="84"/>
    </row>
    <row r="120" spans="8:16">
      <c r="H120" s="77"/>
      <c r="I120" s="77"/>
      <c r="J120" s="77"/>
      <c r="K120" s="77"/>
      <c r="L120" s="77"/>
      <c r="M120" s="81"/>
      <c r="N120" s="77"/>
      <c r="O120" s="77"/>
      <c r="P120" s="84"/>
    </row>
    <row r="121" spans="8:16" ht="7.5" customHeight="1"/>
    <row r="123" spans="8:16">
      <c r="K123" s="91"/>
    </row>
    <row r="124" spans="8:16" ht="15" customHeight="1">
      <c r="K124" s="92"/>
    </row>
    <row r="126" spans="8:16">
      <c r="H126" s="4" t="s">
        <v>144</v>
      </c>
      <c r="K126" s="93"/>
      <c r="P126" s="31"/>
    </row>
    <row r="127" spans="8:16">
      <c r="K127" s="94"/>
    </row>
    <row r="128" spans="8:16">
      <c r="K128" s="94"/>
    </row>
    <row r="132" spans="2:2">
      <c r="B132" s="77"/>
    </row>
  </sheetData>
  <mergeCells count="65">
    <mergeCell ref="M2:O2"/>
    <mergeCell ref="S2:T2"/>
    <mergeCell ref="H2:J2"/>
    <mergeCell ref="B35:P47"/>
    <mergeCell ref="B31:F33"/>
    <mergeCell ref="O20:P20"/>
    <mergeCell ref="O19:P19"/>
    <mergeCell ref="B26:F26"/>
    <mergeCell ref="O16:P16"/>
    <mergeCell ref="O15:P15"/>
    <mergeCell ref="J16:K16"/>
    <mergeCell ref="J17:K17"/>
    <mergeCell ref="J18:K18"/>
    <mergeCell ref="J19:K19"/>
    <mergeCell ref="J20:K20"/>
    <mergeCell ref="J15:K15"/>
    <mergeCell ref="S88:T88"/>
    <mergeCell ref="B70:P70"/>
    <mergeCell ref="G63:H63"/>
    <mergeCell ref="G64:H64"/>
    <mergeCell ref="G65:H65"/>
    <mergeCell ref="G68:H68"/>
    <mergeCell ref="G66:H66"/>
    <mergeCell ref="H88:P88"/>
    <mergeCell ref="B72:F72"/>
    <mergeCell ref="G67:H67"/>
    <mergeCell ref="O17:P17"/>
    <mergeCell ref="O18:P18"/>
    <mergeCell ref="B49:P49"/>
    <mergeCell ref="H26:P26"/>
    <mergeCell ref="G62:H62"/>
    <mergeCell ref="G57:H57"/>
    <mergeCell ref="G52:H52"/>
    <mergeCell ref="B51:I51"/>
    <mergeCell ref="B60:I60"/>
    <mergeCell ref="J23:K23"/>
    <mergeCell ref="G61:H61"/>
    <mergeCell ref="G58:H58"/>
    <mergeCell ref="G53:H53"/>
    <mergeCell ref="G54:H54"/>
    <mergeCell ref="G55:H55"/>
    <mergeCell ref="G56:H56"/>
    <mergeCell ref="B105:P105"/>
    <mergeCell ref="B88:F88"/>
    <mergeCell ref="L93:M93"/>
    <mergeCell ref="L94:M94"/>
    <mergeCell ref="L95:M95"/>
    <mergeCell ref="L89:M89"/>
    <mergeCell ref="L90:M90"/>
    <mergeCell ref="L91:M91"/>
    <mergeCell ref="L92:M92"/>
    <mergeCell ref="H99:P99"/>
    <mergeCell ref="L100:M100"/>
    <mergeCell ref="B100:F103"/>
    <mergeCell ref="L96:M96"/>
    <mergeCell ref="C10:F10"/>
    <mergeCell ref="J24:K24"/>
    <mergeCell ref="H89:I89"/>
    <mergeCell ref="K32:L32"/>
    <mergeCell ref="K33:L33"/>
    <mergeCell ref="K27:L27"/>
    <mergeCell ref="K28:L28"/>
    <mergeCell ref="K29:L29"/>
    <mergeCell ref="K30:L30"/>
    <mergeCell ref="K31:L31"/>
  </mergeCells>
  <conditionalFormatting sqref="C18">
    <cfRule type="cellIs" dxfId="22" priority="45" operator="lessThan">
      <formula>45</formula>
    </cfRule>
  </conditionalFormatting>
  <conditionalFormatting sqref="E53:F58">
    <cfRule type="expression" dxfId="21" priority="75">
      <formula>$E53="DUE "&amp;TEXT((#REF!+$D53),"m/dd")</formula>
    </cfRule>
  </conditionalFormatting>
  <conditionalFormatting sqref="E62:F68">
    <cfRule type="expression" dxfId="20" priority="4">
      <formula>$E62="DUE "&amp;TEXT((#REF!+$D62),"m/dd")</formula>
    </cfRule>
  </conditionalFormatting>
  <conditionalFormatting sqref="F18">
    <cfRule type="cellIs" dxfId="19" priority="30" operator="lessThan">
      <formula>45</formula>
    </cfRule>
  </conditionalFormatting>
  <conditionalFormatting sqref="F30">
    <cfRule type="cellIs" dxfId="18" priority="71" operator="lessThan">
      <formula>30</formula>
    </cfRule>
  </conditionalFormatting>
  <conditionalFormatting sqref="I53:I57">
    <cfRule type="expression" dxfId="17" priority="1">
      <formula>$I53="Past Due"</formula>
    </cfRule>
  </conditionalFormatting>
  <conditionalFormatting sqref="I53:I58">
    <cfRule type="cellIs" dxfId="16" priority="2" operator="lessThan">
      <formula>30</formula>
    </cfRule>
  </conditionalFormatting>
  <conditionalFormatting sqref="I62:I65">
    <cfRule type="expression" dxfId="15" priority="24">
      <formula>$I62="Past Due"</formula>
    </cfRule>
  </conditionalFormatting>
  <conditionalFormatting sqref="I62:I68">
    <cfRule type="cellIs" dxfId="14" priority="3" operator="lessThan">
      <formula>30</formula>
    </cfRule>
  </conditionalFormatting>
  <conditionalFormatting sqref="J58">
    <cfRule type="cellIs" dxfId="13" priority="56" operator="lessThan">
      <formula>7</formula>
    </cfRule>
  </conditionalFormatting>
  <conditionalFormatting sqref="J68">
    <cfRule type="cellIs" dxfId="12" priority="60" operator="lessThan">
      <formula>30</formula>
    </cfRule>
  </conditionalFormatting>
  <conditionalFormatting sqref="N90:N96">
    <cfRule type="cellIs" dxfId="11" priority="7" operator="equal">
      <formula>"Violation"</formula>
    </cfRule>
  </conditionalFormatting>
  <conditionalFormatting sqref="O94">
    <cfRule type="expression" dxfId="10" priority="5">
      <formula>O94="FAIL"</formula>
    </cfRule>
    <cfRule type="expression" dxfId="9" priority="6">
      <formula>O94&lt;0.1</formula>
    </cfRule>
  </conditionalFormatting>
  <conditionalFormatting sqref="O101:O103">
    <cfRule type="cellIs" dxfId="8" priority="13" operator="lessThan">
      <formula>45</formula>
    </cfRule>
  </conditionalFormatting>
  <conditionalFormatting sqref="P90:P96">
    <cfRule type="expression" dxfId="7" priority="38">
      <formula>P90&lt;0.1</formula>
    </cfRule>
  </conditionalFormatting>
  <conditionalFormatting sqref="P102">
    <cfRule type="expression" dxfId="6" priority="78">
      <formula>$N$102&lt;=$K$102</formula>
    </cfRule>
  </conditionalFormatting>
  <conditionalFormatting sqref="P103">
    <cfRule type="expression" dxfId="5" priority="79">
      <formula>$N$103&lt;=$K$103</formula>
    </cfRule>
  </conditionalFormatting>
  <dataValidations disablePrompts="1" count="1">
    <dataValidation type="custom" errorStyle="warning" allowBlank="1" showInputMessage="1" showErrorMessage="1" errorTitle="ETNW" error="Warning: _x000a_ETNW differs from Compliance Covenant calculation" sqref="F99" xr:uid="{00000000-0002-0000-0000-000000000000}">
      <formula1>IF(F89=L89,F99=L90,"Error")</formula1>
    </dataValidation>
  </dataValidations>
  <printOptions horizontalCentered="1"/>
  <pageMargins left="0.1" right="0.1" top="0" bottom="0" header="0.1" footer="0.1"/>
  <pageSetup scale="74" fitToHeight="0" orientation="landscape" r:id="rId1"/>
  <rowBreaks count="1" manualBreakCount="1">
    <brk id="68" max="16" man="1"/>
  </rowBreaks>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000-000001000000}">
          <x14:formula1>
            <xm:f>Lists!$C$4:$C$5</xm:f>
          </x14:formula1>
          <xm:sqref>B21</xm:sqref>
        </x14:dataValidation>
        <x14:dataValidation type="list" allowBlank="1" showInputMessage="1" showErrorMessage="1" xr:uid="{00000000-0002-0000-0000-000002000000}">
          <x14:formula1>
            <xm:f>Lists!$G$3:$G$4</xm:f>
          </x14:formula1>
          <xm:sqref>J106</xm:sqref>
        </x14:dataValidation>
        <x14:dataValidation type="list" allowBlank="1" showInputMessage="1" showErrorMessage="1" xr:uid="{00000000-0002-0000-0000-000003000000}">
          <x14:formula1>
            <xm:f>Lists!$E$3:$E$4</xm:f>
          </x14:formula1>
          <xm:sqref>E106 T89</xm:sqref>
        </x14:dataValidation>
        <x14:dataValidation type="list" allowBlank="1" showInputMessage="1" showErrorMessage="1" xr:uid="{00000000-0002-0000-0000-000004000000}">
          <x14:formula1>
            <xm:f>Lists!$L$3:$L$4</xm:f>
          </x14:formula1>
          <xm:sqref>M73</xm:sqref>
        </x14:dataValidation>
        <x14:dataValidation type="list" allowBlank="1" showInputMessage="1" showErrorMessage="1" xr:uid="{00000000-0002-0000-0000-000005000000}">
          <x14:formula1>
            <xm:f>Lists!$I$3:$I$4</xm:f>
          </x14:formula1>
          <xm:sqref>F15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2060"/>
  </sheetPr>
  <dimension ref="B1:V58"/>
  <sheetViews>
    <sheetView showGridLines="0" topLeftCell="A48" workbookViewId="0">
      <selection activeCell="F35" sqref="F35"/>
    </sheetView>
  </sheetViews>
  <sheetFormatPr defaultColWidth="9.1796875" defaultRowHeight="14" outlineLevelRow="1"/>
  <cols>
    <col min="1" max="1" width="3.81640625" style="108" customWidth="1"/>
    <col min="2" max="2" width="22.1796875" style="108" bestFit="1" customWidth="1"/>
    <col min="3" max="26" width="13.453125" style="108" customWidth="1"/>
    <col min="27" max="16384" width="9.1796875" style="108"/>
  </cols>
  <sheetData>
    <row r="1" spans="2:22">
      <c r="B1" s="385" t="s">
        <v>337</v>
      </c>
      <c r="C1" s="386"/>
      <c r="D1" s="386"/>
      <c r="E1" s="386"/>
      <c r="F1" s="386"/>
      <c r="G1" s="386"/>
      <c r="H1" s="386"/>
      <c r="I1" s="386"/>
      <c r="J1" s="386"/>
      <c r="K1" s="386"/>
      <c r="L1" s="386"/>
      <c r="M1" s="386"/>
      <c r="N1" s="386"/>
      <c r="O1" s="386"/>
      <c r="P1" s="386"/>
      <c r="Q1" s="386"/>
      <c r="R1" s="386"/>
      <c r="S1" s="386"/>
      <c r="T1" s="386"/>
      <c r="U1" s="386"/>
      <c r="V1" s="386"/>
    </row>
    <row r="2" spans="2:22" hidden="1" outlineLevel="1">
      <c r="B2" s="381"/>
      <c r="C2" s="384">
        <f>YEAR(C3)</f>
        <v>2017</v>
      </c>
      <c r="D2" s="384">
        <f t="shared" ref="D2:N2" si="0">YEAR(D3)</f>
        <v>2018</v>
      </c>
      <c r="E2" s="384">
        <f t="shared" si="0"/>
        <v>2018</v>
      </c>
      <c r="F2" s="384">
        <f t="shared" si="0"/>
        <v>2018</v>
      </c>
      <c r="G2" s="384">
        <f t="shared" si="0"/>
        <v>2018</v>
      </c>
      <c r="H2" s="384">
        <f t="shared" si="0"/>
        <v>2018</v>
      </c>
      <c r="I2" s="384">
        <f t="shared" si="0"/>
        <v>2018</v>
      </c>
      <c r="J2" s="384">
        <f t="shared" si="0"/>
        <v>2018</v>
      </c>
      <c r="K2" s="384">
        <f t="shared" si="0"/>
        <v>2018</v>
      </c>
      <c r="L2" s="384">
        <f t="shared" si="0"/>
        <v>2018</v>
      </c>
      <c r="M2" s="384">
        <f t="shared" si="0"/>
        <v>2018</v>
      </c>
      <c r="N2" s="384">
        <f t="shared" si="0"/>
        <v>2018</v>
      </c>
      <c r="O2" s="384"/>
      <c r="P2" s="384"/>
      <c r="Q2" s="384"/>
      <c r="R2" s="384"/>
      <c r="S2" s="384"/>
      <c r="T2" s="384"/>
      <c r="U2" s="384"/>
    </row>
    <row r="3" spans="2:22" collapsed="1">
      <c r="B3" s="381"/>
      <c r="C3" s="380">
        <v>43100</v>
      </c>
      <c r="D3" s="388">
        <v>43131</v>
      </c>
      <c r="E3" s="387">
        <f t="shared" ref="E3:N3" si="1">EOMONTH(D3,1)</f>
        <v>43159</v>
      </c>
      <c r="F3" s="387">
        <f t="shared" si="1"/>
        <v>43190</v>
      </c>
      <c r="G3" s="387">
        <f t="shared" si="1"/>
        <v>43220</v>
      </c>
      <c r="H3" s="387">
        <f t="shared" si="1"/>
        <v>43251</v>
      </c>
      <c r="I3" s="380">
        <f t="shared" si="1"/>
        <v>43281</v>
      </c>
      <c r="J3" s="388">
        <f t="shared" si="1"/>
        <v>43312</v>
      </c>
      <c r="K3" s="388">
        <f t="shared" si="1"/>
        <v>43343</v>
      </c>
      <c r="L3" s="388">
        <f t="shared" si="1"/>
        <v>43373</v>
      </c>
      <c r="M3" s="388">
        <f t="shared" si="1"/>
        <v>43404</v>
      </c>
      <c r="N3" s="387">
        <f t="shared" si="1"/>
        <v>43434</v>
      </c>
      <c r="O3" s="387">
        <f t="shared" ref="O3" si="2">EOMONTH(N3,1)</f>
        <v>43465</v>
      </c>
      <c r="P3" s="387">
        <f t="shared" ref="P3" si="3">EOMONTH(O3,1)</f>
        <v>43496</v>
      </c>
      <c r="Q3" s="387">
        <f t="shared" ref="Q3" si="4">EOMONTH(P3,1)</f>
        <v>43524</v>
      </c>
      <c r="R3" s="387">
        <f t="shared" ref="R3" si="5">EOMONTH(Q3,1)</f>
        <v>43555</v>
      </c>
      <c r="S3" s="387">
        <f t="shared" ref="S3" si="6">EOMONTH(R3,1)</f>
        <v>43585</v>
      </c>
      <c r="T3" s="387">
        <f t="shared" ref="T3" si="7">EOMONTH(S3,1)</f>
        <v>43616</v>
      </c>
      <c r="U3" s="387">
        <f t="shared" ref="U3" si="8">EOMONTH(T3,1)</f>
        <v>43646</v>
      </c>
      <c r="V3" s="387">
        <f t="shared" ref="V3" si="9">EOMONTH(U3,1)</f>
        <v>43677</v>
      </c>
    </row>
    <row r="4" spans="2:22">
      <c r="B4" s="373" t="s">
        <v>338</v>
      </c>
      <c r="C4" s="374"/>
      <c r="D4" s="374">
        <v>5805800</v>
      </c>
      <c r="E4" s="374">
        <v>6181600</v>
      </c>
      <c r="F4" s="374">
        <v>8508500</v>
      </c>
      <c r="G4" s="374">
        <v>6902800</v>
      </c>
      <c r="H4" s="374">
        <v>6302800</v>
      </c>
      <c r="I4" s="374">
        <v>9147100</v>
      </c>
      <c r="J4" s="374">
        <v>10299700</v>
      </c>
      <c r="K4" s="374">
        <v>14849200</v>
      </c>
      <c r="L4" s="374">
        <v>16282600</v>
      </c>
      <c r="M4" s="374">
        <v>11973300</v>
      </c>
      <c r="N4" s="374">
        <v>11062300</v>
      </c>
      <c r="O4" s="374">
        <v>13211500</v>
      </c>
      <c r="P4" s="374"/>
      <c r="Q4" s="374"/>
      <c r="R4" s="374"/>
      <c r="S4" s="374"/>
      <c r="T4" s="374"/>
      <c r="U4" s="374"/>
    </row>
    <row r="5" spans="2:22">
      <c r="B5" s="373" t="s">
        <v>339</v>
      </c>
      <c r="C5" s="375"/>
      <c r="D5" s="375">
        <v>10000</v>
      </c>
      <c r="E5" s="375">
        <v>10000</v>
      </c>
      <c r="F5" s="375">
        <v>10000</v>
      </c>
      <c r="G5" s="375">
        <v>10000</v>
      </c>
      <c r="H5" s="375">
        <v>10000</v>
      </c>
      <c r="I5" s="375">
        <v>10000</v>
      </c>
      <c r="J5" s="375">
        <v>10000</v>
      </c>
      <c r="K5" s="375">
        <v>10000</v>
      </c>
      <c r="L5" s="375">
        <v>10000</v>
      </c>
      <c r="M5" s="375">
        <v>10000</v>
      </c>
      <c r="N5" s="375">
        <v>10000</v>
      </c>
      <c r="O5" s="375">
        <v>10000</v>
      </c>
      <c r="P5" s="375"/>
      <c r="Q5" s="375"/>
      <c r="R5" s="375"/>
      <c r="S5" s="375"/>
      <c r="T5" s="406" t="s">
        <v>340</v>
      </c>
      <c r="U5" s="377"/>
    </row>
    <row r="6" spans="2:22">
      <c r="B6" s="108" t="s">
        <v>341</v>
      </c>
      <c r="C6" s="374"/>
      <c r="D6" s="374">
        <v>5815800</v>
      </c>
      <c r="E6" s="374">
        <v>6191600</v>
      </c>
      <c r="F6" s="374">
        <v>8518500</v>
      </c>
      <c r="G6" s="374">
        <v>6912800</v>
      </c>
      <c r="H6" s="374">
        <v>6312800</v>
      </c>
      <c r="I6" s="374">
        <v>9157100</v>
      </c>
      <c r="J6" s="374">
        <v>10309700</v>
      </c>
      <c r="K6" s="374">
        <v>14859200</v>
      </c>
      <c r="L6" s="374">
        <v>16292600</v>
      </c>
      <c r="M6" s="374">
        <v>11983300</v>
      </c>
      <c r="N6" s="374">
        <v>11072300</v>
      </c>
      <c r="O6" s="374">
        <v>13221500</v>
      </c>
      <c r="P6" s="374"/>
      <c r="Q6" s="374"/>
      <c r="R6" s="374"/>
      <c r="S6" s="374"/>
      <c r="T6" s="374"/>
      <c r="U6" s="374"/>
    </row>
    <row r="7" spans="2:22">
      <c r="C7" s="374"/>
      <c r="D7" s="374"/>
      <c r="E7" s="374"/>
      <c r="F7" s="374"/>
      <c r="G7" s="374"/>
      <c r="H7" s="374"/>
      <c r="I7" s="374"/>
      <c r="J7" s="374"/>
      <c r="K7" s="374"/>
      <c r="L7" s="374"/>
      <c r="M7" s="374"/>
      <c r="N7" s="374"/>
      <c r="O7" s="374"/>
      <c r="P7" s="374"/>
      <c r="Q7" s="374"/>
      <c r="R7" s="374"/>
      <c r="S7" s="374"/>
      <c r="T7" s="374"/>
      <c r="U7" s="374"/>
    </row>
    <row r="8" spans="2:22">
      <c r="B8" s="373" t="s">
        <v>342</v>
      </c>
      <c r="C8" s="374"/>
      <c r="D8" s="374">
        <v>757800</v>
      </c>
      <c r="E8" s="374">
        <v>1095500</v>
      </c>
      <c r="F8" s="374">
        <v>1345600</v>
      </c>
      <c r="G8" s="374">
        <v>978800</v>
      </c>
      <c r="H8" s="374">
        <v>971500</v>
      </c>
      <c r="I8" s="374">
        <v>1277500</v>
      </c>
      <c r="J8" s="374">
        <v>1589700</v>
      </c>
      <c r="K8" s="374">
        <v>2548800</v>
      </c>
      <c r="L8" s="374">
        <v>2405000</v>
      </c>
      <c r="M8" s="374">
        <v>2304400</v>
      </c>
      <c r="N8" s="374">
        <v>1870900</v>
      </c>
      <c r="O8" s="374">
        <v>2287300</v>
      </c>
      <c r="P8" s="374"/>
      <c r="Q8" s="374"/>
      <c r="R8" s="374"/>
      <c r="S8" s="374"/>
      <c r="T8" s="374"/>
      <c r="U8" s="374"/>
    </row>
    <row r="9" spans="2:22">
      <c r="B9" s="373" t="s">
        <v>343</v>
      </c>
      <c r="C9" s="375"/>
      <c r="D9" s="375">
        <v>3276100</v>
      </c>
      <c r="E9" s="375">
        <v>3478800</v>
      </c>
      <c r="F9" s="375">
        <v>4852400</v>
      </c>
      <c r="G9" s="375">
        <v>3984700</v>
      </c>
      <c r="H9" s="375">
        <v>3641200</v>
      </c>
      <c r="I9" s="375">
        <v>5382300</v>
      </c>
      <c r="J9" s="375">
        <v>5837700</v>
      </c>
      <c r="K9" s="375">
        <v>7841000</v>
      </c>
      <c r="L9" s="375">
        <v>9093200</v>
      </c>
      <c r="M9" s="375">
        <v>6039400</v>
      </c>
      <c r="N9" s="375">
        <v>6314400</v>
      </c>
      <c r="O9" s="375">
        <v>7331800</v>
      </c>
      <c r="P9" s="375"/>
      <c r="Q9" s="375"/>
      <c r="R9" s="375"/>
      <c r="S9" s="375"/>
      <c r="T9" s="377"/>
      <c r="U9" s="377"/>
    </row>
    <row r="10" spans="2:22">
      <c r="B10" s="108" t="s">
        <v>344</v>
      </c>
      <c r="C10" s="374"/>
      <c r="D10" s="374">
        <v>4033900</v>
      </c>
      <c r="E10" s="374">
        <v>4574300</v>
      </c>
      <c r="F10" s="374">
        <v>6198000</v>
      </c>
      <c r="G10" s="374">
        <v>4963500</v>
      </c>
      <c r="H10" s="374">
        <v>4612700</v>
      </c>
      <c r="I10" s="374">
        <v>6659800</v>
      </c>
      <c r="J10" s="374">
        <v>7427400</v>
      </c>
      <c r="K10" s="374">
        <v>10389800</v>
      </c>
      <c r="L10" s="374">
        <v>11498200</v>
      </c>
      <c r="M10" s="374">
        <v>8343800</v>
      </c>
      <c r="N10" s="374">
        <v>8185300</v>
      </c>
      <c r="O10" s="374">
        <v>9619100</v>
      </c>
      <c r="P10" s="374"/>
      <c r="Q10" s="374"/>
      <c r="R10" s="374"/>
      <c r="S10" s="374"/>
      <c r="T10" s="374"/>
      <c r="U10" s="374"/>
    </row>
    <row r="11" spans="2:22">
      <c r="C11" s="336"/>
      <c r="D11" s="336"/>
      <c r="E11" s="336"/>
      <c r="F11" s="336"/>
      <c r="G11" s="336"/>
      <c r="H11" s="336"/>
      <c r="I11" s="336"/>
      <c r="J11" s="336"/>
      <c r="K11" s="336"/>
      <c r="L11" s="336"/>
      <c r="M11" s="336"/>
      <c r="N11" s="336"/>
      <c r="O11" s="336"/>
      <c r="P11" s="336"/>
      <c r="Q11" s="336"/>
      <c r="R11" s="336"/>
      <c r="S11" s="336"/>
      <c r="T11" s="336"/>
      <c r="U11" s="336"/>
    </row>
    <row r="12" spans="2:22">
      <c r="B12" s="108" t="s">
        <v>345</v>
      </c>
      <c r="C12" s="374"/>
      <c r="D12" s="374">
        <v>1781900</v>
      </c>
      <c r="E12" s="374">
        <v>1617300</v>
      </c>
      <c r="F12" s="374">
        <v>2320500</v>
      </c>
      <c r="G12" s="374">
        <v>1949300</v>
      </c>
      <c r="H12" s="374">
        <v>1700100</v>
      </c>
      <c r="I12" s="374">
        <v>2497300</v>
      </c>
      <c r="J12" s="374">
        <v>2882300</v>
      </c>
      <c r="K12" s="374">
        <v>4469400</v>
      </c>
      <c r="L12" s="374">
        <v>4794400</v>
      </c>
      <c r="M12" s="374">
        <v>3639500</v>
      </c>
      <c r="N12" s="374">
        <v>2887000</v>
      </c>
      <c r="O12" s="374">
        <v>3602400</v>
      </c>
      <c r="P12" s="374"/>
      <c r="Q12" s="374"/>
      <c r="R12" s="374"/>
      <c r="S12" s="374"/>
      <c r="T12" s="374"/>
      <c r="U12" s="374"/>
    </row>
    <row r="13" spans="2:22">
      <c r="B13" s="397" t="s">
        <v>118</v>
      </c>
      <c r="C13" s="382"/>
      <c r="D13" s="382">
        <v>0.3063894906977544</v>
      </c>
      <c r="E13" s="382">
        <v>0.26120873441436787</v>
      </c>
      <c r="F13" s="382">
        <v>0.27240711392850853</v>
      </c>
      <c r="G13" s="382">
        <v>0.28198414535354704</v>
      </c>
      <c r="H13" s="382">
        <v>0.26930997338740337</v>
      </c>
      <c r="I13" s="382">
        <v>0.27271734501097511</v>
      </c>
      <c r="J13" s="382">
        <v>0.2795716655188803</v>
      </c>
      <c r="K13" s="382">
        <v>0.30078335307418974</v>
      </c>
      <c r="L13" s="382">
        <v>0.29426856364238979</v>
      </c>
      <c r="M13" s="382">
        <v>0.30371433578396601</v>
      </c>
      <c r="N13" s="382">
        <v>0.2607407675008806</v>
      </c>
      <c r="O13" s="382">
        <v>0.27246530272661951</v>
      </c>
      <c r="P13" s="382"/>
      <c r="Q13" s="382"/>
      <c r="R13" s="382"/>
      <c r="S13" s="382"/>
      <c r="T13" s="382"/>
      <c r="U13" s="382"/>
    </row>
    <row r="14" spans="2:22">
      <c r="B14" s="108" t="s">
        <v>346</v>
      </c>
    </row>
    <row r="15" spans="2:22">
      <c r="B15" s="376" t="s">
        <v>347</v>
      </c>
      <c r="C15" s="374"/>
      <c r="D15" s="374">
        <v>323100</v>
      </c>
      <c r="E15" s="374">
        <v>325600</v>
      </c>
      <c r="F15" s="374">
        <v>342400</v>
      </c>
      <c r="G15" s="374">
        <v>347700</v>
      </c>
      <c r="H15" s="374">
        <v>337400</v>
      </c>
      <c r="I15" s="374">
        <v>457400</v>
      </c>
      <c r="J15" s="374">
        <v>347200</v>
      </c>
      <c r="K15" s="374">
        <v>355800</v>
      </c>
      <c r="L15" s="374">
        <v>367500</v>
      </c>
      <c r="M15" s="374">
        <v>341200</v>
      </c>
      <c r="N15" s="374">
        <v>432900</v>
      </c>
      <c r="O15" s="374">
        <v>344900</v>
      </c>
      <c r="P15" s="374"/>
      <c r="Q15" s="374"/>
      <c r="R15" s="374"/>
      <c r="S15" s="374"/>
      <c r="T15" s="374"/>
      <c r="U15" s="374"/>
    </row>
    <row r="16" spans="2:22">
      <c r="B16" s="376" t="s">
        <v>348</v>
      </c>
      <c r="C16" s="374"/>
      <c r="D16" s="374">
        <v>97500</v>
      </c>
      <c r="E16" s="374">
        <v>142000</v>
      </c>
      <c r="F16" s="374">
        <v>237500</v>
      </c>
      <c r="G16" s="374">
        <v>200500</v>
      </c>
      <c r="H16" s="374">
        <v>246500</v>
      </c>
      <c r="I16" s="374">
        <v>290000</v>
      </c>
      <c r="J16" s="374">
        <v>353000</v>
      </c>
      <c r="K16" s="374">
        <v>405500</v>
      </c>
      <c r="L16" s="374">
        <v>577500</v>
      </c>
      <c r="M16" s="374">
        <v>331000</v>
      </c>
      <c r="N16" s="374">
        <v>370000</v>
      </c>
      <c r="O16" s="374">
        <v>411000</v>
      </c>
      <c r="P16" s="374"/>
      <c r="Q16" s="374"/>
      <c r="R16" s="374"/>
      <c r="S16" s="374"/>
      <c r="T16" s="374"/>
      <c r="U16" s="374"/>
    </row>
    <row r="17" spans="2:21">
      <c r="B17" s="376" t="s">
        <v>349</v>
      </c>
      <c r="C17" s="374"/>
      <c r="D17" s="374">
        <v>328900</v>
      </c>
      <c r="E17" s="374">
        <v>331400</v>
      </c>
      <c r="F17" s="374">
        <v>452900</v>
      </c>
      <c r="G17" s="374">
        <v>453900</v>
      </c>
      <c r="H17" s="374">
        <v>436800</v>
      </c>
      <c r="I17" s="374">
        <v>596200</v>
      </c>
      <c r="J17" s="374">
        <v>527500</v>
      </c>
      <c r="K17" s="374">
        <v>733400</v>
      </c>
      <c r="L17" s="374">
        <v>766000</v>
      </c>
      <c r="M17" s="374">
        <v>619400</v>
      </c>
      <c r="N17" s="374">
        <v>615100</v>
      </c>
      <c r="O17" s="374">
        <v>687100</v>
      </c>
      <c r="P17" s="374"/>
      <c r="Q17" s="374"/>
      <c r="R17" s="374"/>
      <c r="S17" s="374"/>
      <c r="T17" s="374"/>
      <c r="U17" s="374"/>
    </row>
    <row r="18" spans="2:21">
      <c r="B18" s="376" t="s">
        <v>350</v>
      </c>
      <c r="C18" s="377"/>
      <c r="D18" s="377">
        <v>79800</v>
      </c>
      <c r="E18" s="377">
        <v>129500</v>
      </c>
      <c r="F18" s="377">
        <v>109100</v>
      </c>
      <c r="G18" s="377">
        <v>90000</v>
      </c>
      <c r="H18" s="377">
        <v>105400</v>
      </c>
      <c r="I18" s="377">
        <v>94700</v>
      </c>
      <c r="J18" s="377">
        <v>78700</v>
      </c>
      <c r="K18" s="377">
        <v>80100</v>
      </c>
      <c r="L18" s="377">
        <v>103900</v>
      </c>
      <c r="M18" s="377">
        <v>87900</v>
      </c>
      <c r="N18" s="377">
        <v>92900</v>
      </c>
      <c r="O18" s="377">
        <v>64000</v>
      </c>
      <c r="P18" s="377"/>
      <c r="Q18" s="377"/>
      <c r="R18" s="377"/>
      <c r="S18" s="377"/>
      <c r="T18" s="377"/>
      <c r="U18" s="377"/>
    </row>
    <row r="19" spans="2:21">
      <c r="B19" s="376" t="s">
        <v>351</v>
      </c>
      <c r="C19" s="375"/>
      <c r="D19" s="375">
        <v>612900</v>
      </c>
      <c r="E19" s="375">
        <v>520700</v>
      </c>
      <c r="F19" s="375">
        <v>564900</v>
      </c>
      <c r="G19" s="375">
        <v>570800</v>
      </c>
      <c r="H19" s="375">
        <v>525100</v>
      </c>
      <c r="I19" s="375">
        <v>695500</v>
      </c>
      <c r="J19" s="375">
        <v>617000</v>
      </c>
      <c r="K19" s="375">
        <v>646500</v>
      </c>
      <c r="L19" s="375">
        <v>667400</v>
      </c>
      <c r="M19" s="375">
        <v>660800</v>
      </c>
      <c r="N19" s="375">
        <v>679500</v>
      </c>
      <c r="O19" s="375">
        <v>669200</v>
      </c>
      <c r="P19" s="375"/>
      <c r="Q19" s="375"/>
      <c r="R19" s="375"/>
      <c r="S19" s="375"/>
      <c r="T19" s="377"/>
      <c r="U19" s="377"/>
    </row>
    <row r="20" spans="2:21">
      <c r="B20" s="373" t="s">
        <v>352</v>
      </c>
      <c r="C20" s="378"/>
      <c r="D20" s="378">
        <v>1442200</v>
      </c>
      <c r="E20" s="378">
        <v>1449200</v>
      </c>
      <c r="F20" s="378">
        <v>1706800</v>
      </c>
      <c r="G20" s="378">
        <v>1662900</v>
      </c>
      <c r="H20" s="378">
        <v>1651200</v>
      </c>
      <c r="I20" s="378">
        <v>2133800</v>
      </c>
      <c r="J20" s="378">
        <v>1923400</v>
      </c>
      <c r="K20" s="378">
        <v>2221300</v>
      </c>
      <c r="L20" s="378">
        <v>2482300</v>
      </c>
      <c r="M20" s="378">
        <v>2040300</v>
      </c>
      <c r="N20" s="378">
        <v>2190400</v>
      </c>
      <c r="O20" s="378">
        <v>2176200</v>
      </c>
      <c r="P20" s="378"/>
      <c r="Q20" s="378"/>
      <c r="R20" s="378"/>
      <c r="S20" s="378"/>
      <c r="T20" s="377"/>
      <c r="U20" s="377"/>
    </row>
    <row r="21" spans="2:21">
      <c r="B21" s="108" t="s">
        <v>220</v>
      </c>
      <c r="C21" s="374"/>
      <c r="D21" s="374">
        <v>339700</v>
      </c>
      <c r="E21" s="374">
        <v>168100</v>
      </c>
      <c r="F21" s="374">
        <v>613700</v>
      </c>
      <c r="G21" s="374">
        <v>286400</v>
      </c>
      <c r="H21" s="374">
        <v>48900</v>
      </c>
      <c r="I21" s="374">
        <v>363500</v>
      </c>
      <c r="J21" s="374">
        <v>958900</v>
      </c>
      <c r="K21" s="374">
        <v>2248100</v>
      </c>
      <c r="L21" s="374">
        <v>2312100</v>
      </c>
      <c r="M21" s="374">
        <v>1599200</v>
      </c>
      <c r="N21" s="374">
        <v>696600</v>
      </c>
      <c r="O21" s="374">
        <v>1426200</v>
      </c>
      <c r="P21" s="374"/>
      <c r="Q21" s="374"/>
      <c r="R21" s="374"/>
      <c r="S21" s="374"/>
      <c r="T21" s="374"/>
      <c r="U21" s="374"/>
    </row>
    <row r="22" spans="2:21">
      <c r="B22" s="116" t="s">
        <v>122</v>
      </c>
      <c r="C22" s="382"/>
      <c r="D22" s="382">
        <v>5.8409849031947451E-2</v>
      </c>
      <c r="E22" s="382">
        <v>2.7149686672265649E-2</v>
      </c>
      <c r="F22" s="382">
        <v>7.2043200093913254E-2</v>
      </c>
      <c r="G22" s="382">
        <v>4.1430390001157273E-2</v>
      </c>
      <c r="H22" s="382">
        <v>7.7461665188189076E-3</v>
      </c>
      <c r="I22" s="382">
        <v>3.9695973616101166E-2</v>
      </c>
      <c r="J22" s="382">
        <v>9.300949591161721E-2</v>
      </c>
      <c r="K22" s="382">
        <v>0.15129347474965005</v>
      </c>
      <c r="L22" s="382">
        <v>0.14191105164307721</v>
      </c>
      <c r="M22" s="382">
        <v>0.13345238790650321</v>
      </c>
      <c r="N22" s="382">
        <v>6.2913757755841154E-2</v>
      </c>
      <c r="O22" s="382">
        <v>0.10786975759180123</v>
      </c>
      <c r="P22" s="382"/>
      <c r="Q22" s="382"/>
      <c r="R22" s="382"/>
      <c r="S22" s="382"/>
      <c r="T22" s="382"/>
      <c r="U22" s="382"/>
    </row>
    <row r="23" spans="2:21">
      <c r="B23" s="382"/>
      <c r="C23" s="382"/>
      <c r="D23" s="382"/>
      <c r="E23" s="382"/>
      <c r="F23" s="382"/>
      <c r="G23" s="382"/>
      <c r="H23" s="382"/>
      <c r="I23" s="382"/>
      <c r="J23" s="382"/>
      <c r="K23" s="382"/>
      <c r="L23" s="382"/>
      <c r="M23" s="382"/>
      <c r="N23" s="382"/>
      <c r="O23" s="382"/>
      <c r="P23" s="382"/>
      <c r="Q23" s="382"/>
      <c r="R23" s="382"/>
      <c r="S23" s="382"/>
      <c r="T23" s="382"/>
      <c r="U23" s="382"/>
    </row>
    <row r="24" spans="2:21">
      <c r="B24" s="379" t="s">
        <v>353</v>
      </c>
      <c r="C24" s="374"/>
      <c r="D24" s="374">
        <v>339700</v>
      </c>
      <c r="E24" s="374">
        <v>507800</v>
      </c>
      <c r="F24" s="374">
        <v>1121500</v>
      </c>
      <c r="G24" s="374">
        <v>1407900</v>
      </c>
      <c r="H24" s="374">
        <v>1456800</v>
      </c>
      <c r="I24" s="374">
        <v>1820300</v>
      </c>
      <c r="J24" s="374">
        <v>2779200</v>
      </c>
      <c r="K24" s="374">
        <v>5027300</v>
      </c>
      <c r="L24" s="374">
        <v>7339400</v>
      </c>
      <c r="M24" s="374">
        <v>8938600</v>
      </c>
      <c r="N24" s="374">
        <v>9635200</v>
      </c>
      <c r="O24" s="374">
        <v>11061400</v>
      </c>
      <c r="P24" s="374"/>
      <c r="Q24" s="374"/>
      <c r="R24" s="374"/>
      <c r="S24" s="374"/>
      <c r="T24" s="374"/>
      <c r="U24" s="374"/>
    </row>
    <row r="25" spans="2:21">
      <c r="B25" s="116" t="s">
        <v>122</v>
      </c>
      <c r="C25" s="382"/>
      <c r="D25" s="382">
        <v>5.8409849031947451E-2</v>
      </c>
      <c r="E25" s="382">
        <v>4.2290587471059515E-2</v>
      </c>
      <c r="F25" s="382">
        <v>5.4638286262721734E-2</v>
      </c>
      <c r="G25" s="382">
        <v>5.1310739940303295E-2</v>
      </c>
      <c r="H25" s="382">
        <v>4.3162526109950666E-2</v>
      </c>
      <c r="I25" s="382">
        <v>4.242273110751691E-2</v>
      </c>
      <c r="J25" s="382">
        <v>5.2222637701692838E-2</v>
      </c>
      <c r="K25" s="382">
        <v>7.3846718813117398E-2</v>
      </c>
      <c r="L25" s="382">
        <v>8.6990533376160514E-2</v>
      </c>
      <c r="M25" s="382">
        <v>9.2768911112633287E-2</v>
      </c>
      <c r="N25" s="382">
        <v>8.9691759048346906E-2</v>
      </c>
      <c r="O25" s="382">
        <v>9.1683851759510368E-2</v>
      </c>
      <c r="P25" s="382"/>
      <c r="Q25" s="382"/>
      <c r="R25" s="382"/>
      <c r="S25" s="382"/>
      <c r="T25" s="382"/>
      <c r="U25" s="382"/>
    </row>
    <row r="26" spans="2:21">
      <c r="B26" s="382"/>
      <c r="C26" s="382"/>
      <c r="D26" s="382"/>
      <c r="E26" s="382"/>
      <c r="F26" s="382"/>
      <c r="G26" s="382"/>
      <c r="H26" s="382"/>
      <c r="I26" s="382"/>
      <c r="J26" s="382"/>
      <c r="K26" s="382"/>
      <c r="L26" s="382"/>
      <c r="M26" s="382"/>
      <c r="N26" s="382"/>
      <c r="O26" s="382"/>
      <c r="P26" s="382"/>
      <c r="Q26" s="382"/>
      <c r="R26" s="382"/>
      <c r="S26" s="382"/>
      <c r="T26" s="382"/>
      <c r="U26" s="382"/>
    </row>
    <row r="27" spans="2:21">
      <c r="B27" s="108" t="s">
        <v>349</v>
      </c>
      <c r="D27" s="108">
        <v>14</v>
      </c>
      <c r="E27" s="108">
        <v>21</v>
      </c>
      <c r="F27" s="108">
        <v>22</v>
      </c>
      <c r="G27" s="108">
        <v>21</v>
      </c>
      <c r="H27" s="108">
        <v>25</v>
      </c>
      <c r="I27" s="108">
        <v>23</v>
      </c>
      <c r="J27" s="108">
        <v>19</v>
      </c>
      <c r="K27" s="108">
        <v>19</v>
      </c>
      <c r="L27" s="108">
        <v>24</v>
      </c>
      <c r="M27" s="108">
        <v>23</v>
      </c>
      <c r="N27" s="108">
        <v>23</v>
      </c>
      <c r="O27" s="108">
        <v>12</v>
      </c>
    </row>
    <row r="28" spans="2:21">
      <c r="B28" s="108" t="s">
        <v>354</v>
      </c>
      <c r="D28" s="108">
        <v>26</v>
      </c>
      <c r="E28" s="108">
        <v>14</v>
      </c>
      <c r="F28" s="108">
        <v>20</v>
      </c>
      <c r="G28" s="108">
        <v>24</v>
      </c>
      <c r="H28" s="108">
        <v>20</v>
      </c>
      <c r="I28" s="108">
        <v>25</v>
      </c>
      <c r="J28" s="108">
        <v>15</v>
      </c>
      <c r="K28" s="108">
        <v>18</v>
      </c>
      <c r="L28" s="108">
        <v>23</v>
      </c>
      <c r="M28" s="108">
        <v>15</v>
      </c>
      <c r="N28" s="108">
        <v>12</v>
      </c>
      <c r="O28" s="108">
        <v>21</v>
      </c>
    </row>
    <row r="29" spans="2:21">
      <c r="B29" s="108" t="s">
        <v>355</v>
      </c>
      <c r="D29" s="108">
        <v>11</v>
      </c>
      <c r="E29" s="108">
        <v>11</v>
      </c>
      <c r="F29" s="108">
        <v>18</v>
      </c>
      <c r="G29" s="108">
        <v>16</v>
      </c>
      <c r="H29" s="108">
        <v>13</v>
      </c>
      <c r="I29" s="108">
        <v>22</v>
      </c>
      <c r="J29" s="108">
        <v>22</v>
      </c>
      <c r="K29" s="108">
        <v>28</v>
      </c>
      <c r="L29" s="108">
        <v>32</v>
      </c>
      <c r="M29" s="108">
        <v>21</v>
      </c>
      <c r="N29" s="108">
        <v>22</v>
      </c>
      <c r="O29" s="108">
        <v>26</v>
      </c>
    </row>
    <row r="30" spans="2:21">
      <c r="B30" s="108" t="s">
        <v>356</v>
      </c>
      <c r="C30" s="374"/>
      <c r="D30" s="374">
        <v>527800</v>
      </c>
      <c r="E30" s="374">
        <v>561963.63636363635</v>
      </c>
      <c r="F30" s="374">
        <v>472694.44444444444</v>
      </c>
      <c r="G30" s="374">
        <v>431425</v>
      </c>
      <c r="H30" s="374">
        <v>484830.76923076925</v>
      </c>
      <c r="I30" s="374">
        <v>415777.27272727271</v>
      </c>
      <c r="J30" s="374">
        <v>468168.18181818182</v>
      </c>
      <c r="K30" s="374">
        <v>530328.57142857148</v>
      </c>
      <c r="L30" s="374">
        <v>508831.25</v>
      </c>
      <c r="M30" s="374">
        <v>570157.14285714284</v>
      </c>
      <c r="N30" s="374">
        <v>502831.81818181818</v>
      </c>
      <c r="O30" s="374">
        <v>508134.61538461538</v>
      </c>
      <c r="P30" s="374"/>
      <c r="Q30" s="374"/>
      <c r="R30" s="374"/>
      <c r="S30" s="374"/>
      <c r="T30" s="374"/>
      <c r="U30" s="374"/>
    </row>
    <row r="32" spans="2:21">
      <c r="B32" s="110"/>
    </row>
    <row r="33" spans="2:22">
      <c r="B33" s="245" t="s">
        <v>164</v>
      </c>
      <c r="C33" s="383">
        <v>43100</v>
      </c>
      <c r="D33" s="383">
        <f>EOMONTH(C33,3)</f>
        <v>43190</v>
      </c>
      <c r="E33" s="383">
        <f t="shared" ref="E33:N33" si="10">EOMONTH(D33,3)</f>
        <v>43281</v>
      </c>
      <c r="F33" s="383">
        <f t="shared" si="10"/>
        <v>43373</v>
      </c>
      <c r="G33" s="383">
        <f t="shared" si="10"/>
        <v>43465</v>
      </c>
      <c r="H33" s="383">
        <f t="shared" si="10"/>
        <v>43555</v>
      </c>
      <c r="I33" s="383">
        <f t="shared" si="10"/>
        <v>43646</v>
      </c>
      <c r="J33" s="383">
        <f t="shared" si="10"/>
        <v>43738</v>
      </c>
      <c r="K33" s="383">
        <f t="shared" si="10"/>
        <v>43830</v>
      </c>
      <c r="L33" s="383">
        <f t="shared" si="10"/>
        <v>43921</v>
      </c>
      <c r="M33" s="383">
        <f t="shared" si="10"/>
        <v>44012</v>
      </c>
      <c r="N33" s="383">
        <f t="shared" si="10"/>
        <v>44104</v>
      </c>
      <c r="O33" s="383">
        <f t="shared" ref="O33" si="11">EOMONTH(N33,3)</f>
        <v>44196</v>
      </c>
      <c r="P33" s="383">
        <f t="shared" ref="P33" si="12">EOMONTH(O33,3)</f>
        <v>44286</v>
      </c>
      <c r="Q33" s="383">
        <f t="shared" ref="Q33" si="13">EOMONTH(P33,3)</f>
        <v>44377</v>
      </c>
      <c r="R33" s="383">
        <f t="shared" ref="R33" si="14">EOMONTH(Q33,3)</f>
        <v>44469</v>
      </c>
      <c r="S33" s="383">
        <f t="shared" ref="S33" si="15">EOMONTH(R33,3)</f>
        <v>44561</v>
      </c>
      <c r="T33" s="383">
        <f t="shared" ref="T33" si="16">EOMONTH(S33,3)</f>
        <v>44651</v>
      </c>
      <c r="U33" s="383">
        <f t="shared" ref="U33" si="17">EOMONTH(T33,3)</f>
        <v>44742</v>
      </c>
      <c r="V33" s="383">
        <f t="shared" ref="V33" si="18">EOMONTH(U33,3)</f>
        <v>44834</v>
      </c>
    </row>
    <row r="34" spans="2:22">
      <c r="B34" s="373" t="s">
        <v>115</v>
      </c>
      <c r="C34" s="117">
        <f>SUMIFS($C$6:$V$6,$C$3:$V$3,"&lt;="&amp;C$33,$C$3:$V$3,"&gt;="&amp;EOMONTH(C33,-2))</f>
        <v>0</v>
      </c>
      <c r="D34" s="117">
        <f t="shared" ref="D34:N34" si="19">SUMIFS($C$6:$V$6,$C$3:$V$3,"&lt;="&amp;D$33,$C$3:$V$3,"&gt;="&amp;EOMONTH(D33,-2))</f>
        <v>20525900</v>
      </c>
      <c r="E34" s="117">
        <f t="shared" si="19"/>
        <v>22382700</v>
      </c>
      <c r="F34" s="117">
        <f t="shared" si="19"/>
        <v>41461500</v>
      </c>
      <c r="G34" s="117">
        <f t="shared" si="19"/>
        <v>36277100</v>
      </c>
      <c r="H34" s="117">
        <f t="shared" si="19"/>
        <v>0</v>
      </c>
      <c r="I34" s="117">
        <f t="shared" si="19"/>
        <v>0</v>
      </c>
      <c r="J34" s="117">
        <f t="shared" si="19"/>
        <v>0</v>
      </c>
      <c r="K34" s="117">
        <f t="shared" si="19"/>
        <v>0</v>
      </c>
      <c r="L34" s="117">
        <f t="shared" si="19"/>
        <v>0</v>
      </c>
      <c r="M34" s="117">
        <f t="shared" si="19"/>
        <v>0</v>
      </c>
      <c r="N34" s="117">
        <f t="shared" si="19"/>
        <v>0</v>
      </c>
      <c r="O34" s="117"/>
      <c r="P34" s="117"/>
      <c r="Q34" s="117"/>
      <c r="R34" s="117"/>
      <c r="S34" s="117"/>
      <c r="T34" s="117"/>
      <c r="U34" s="117"/>
    </row>
    <row r="35" spans="2:22">
      <c r="B35" s="373" t="s">
        <v>117</v>
      </c>
      <c r="C35" s="374">
        <f>SUMIFS($C$12:$V$12,$C$3:$V$3,"&lt;="&amp;C$33,$C$3:$V$3,"&gt;="&amp;EOMONTH(C33,-2))</f>
        <v>0</v>
      </c>
      <c r="D35" s="374">
        <f t="shared" ref="D35:N35" si="20">SUMIFS($C$12:$V$12,$C$3:$V$3,"&lt;="&amp;D$33,$C$3:$V$3,"&gt;="&amp;EOMONTH(D33,-2))</f>
        <v>5719700</v>
      </c>
      <c r="E35" s="374">
        <f t="shared" si="20"/>
        <v>6146700</v>
      </c>
      <c r="F35" s="374">
        <f t="shared" si="20"/>
        <v>12146100</v>
      </c>
      <c r="G35" s="374">
        <f t="shared" si="20"/>
        <v>10128900</v>
      </c>
      <c r="H35" s="374">
        <f t="shared" si="20"/>
        <v>0</v>
      </c>
      <c r="I35" s="374">
        <f t="shared" si="20"/>
        <v>0</v>
      </c>
      <c r="J35" s="374">
        <f t="shared" si="20"/>
        <v>0</v>
      </c>
      <c r="K35" s="374">
        <f t="shared" si="20"/>
        <v>0</v>
      </c>
      <c r="L35" s="374">
        <f t="shared" si="20"/>
        <v>0</v>
      </c>
      <c r="M35" s="374">
        <f t="shared" si="20"/>
        <v>0</v>
      </c>
      <c r="N35" s="374">
        <f t="shared" si="20"/>
        <v>0</v>
      </c>
      <c r="O35" s="374"/>
      <c r="P35" s="374"/>
      <c r="Q35" s="374"/>
      <c r="R35" s="374"/>
      <c r="S35" s="374"/>
      <c r="T35" s="374"/>
      <c r="U35" s="374"/>
    </row>
    <row r="36" spans="2:22">
      <c r="B36" s="373" t="s">
        <v>119</v>
      </c>
      <c r="C36" s="374">
        <f>SUMIFS($C$20:$V$20,$C$3:$V$3,"&lt;="&amp;C$33,$C$3:$V$3,"&gt;="&amp;EOMONTH(C33,-2))</f>
        <v>0</v>
      </c>
      <c r="D36" s="374">
        <f t="shared" ref="D36:N36" si="21">SUMIFS($C$20:$V$20,$C$3:$V$3,"&lt;="&amp;D$33,$C$3:$V$3,"&gt;="&amp;EOMONTH(D33,-2))</f>
        <v>4598200</v>
      </c>
      <c r="E36" s="374">
        <f t="shared" si="21"/>
        <v>5447900</v>
      </c>
      <c r="F36" s="374">
        <f t="shared" si="21"/>
        <v>6627000</v>
      </c>
      <c r="G36" s="374">
        <f t="shared" si="21"/>
        <v>6406900</v>
      </c>
      <c r="H36" s="374">
        <f t="shared" si="21"/>
        <v>0</v>
      </c>
      <c r="I36" s="374">
        <f t="shared" si="21"/>
        <v>0</v>
      </c>
      <c r="J36" s="374">
        <f t="shared" si="21"/>
        <v>0</v>
      </c>
      <c r="K36" s="374">
        <f t="shared" si="21"/>
        <v>0</v>
      </c>
      <c r="L36" s="374">
        <f t="shared" si="21"/>
        <v>0</v>
      </c>
      <c r="M36" s="374">
        <f t="shared" si="21"/>
        <v>0</v>
      </c>
      <c r="N36" s="374">
        <f t="shared" si="21"/>
        <v>0</v>
      </c>
      <c r="O36" s="374"/>
      <c r="P36" s="374"/>
      <c r="Q36" s="374"/>
      <c r="R36" s="374"/>
      <c r="S36" s="374"/>
      <c r="T36" s="374"/>
      <c r="U36" s="374"/>
    </row>
    <row r="37" spans="2:22">
      <c r="B37" s="373" t="s">
        <v>121</v>
      </c>
      <c r="C37" s="374">
        <f>SUMIFS($C$21:$V$21,$C$3:$V$3,"&lt;="&amp;C$33,$C$3:$V$3,"&gt;="&amp;EOMONTH(C33,-2))</f>
        <v>0</v>
      </c>
      <c r="D37" s="374">
        <f t="shared" ref="D37:N37" si="22">SUMIFS($C$21:$V$21,$C$3:$V$3,"&lt;="&amp;D$33,$C$3:$V$3,"&gt;="&amp;EOMONTH(D33,-2))</f>
        <v>1121500</v>
      </c>
      <c r="E37" s="374">
        <f t="shared" si="22"/>
        <v>698800</v>
      </c>
      <c r="F37" s="374">
        <f t="shared" si="22"/>
        <v>5519100</v>
      </c>
      <c r="G37" s="374">
        <f t="shared" si="22"/>
        <v>3722000</v>
      </c>
      <c r="H37" s="374">
        <f t="shared" si="22"/>
        <v>0</v>
      </c>
      <c r="I37" s="374">
        <f t="shared" si="22"/>
        <v>0</v>
      </c>
      <c r="J37" s="374">
        <f t="shared" si="22"/>
        <v>0</v>
      </c>
      <c r="K37" s="374">
        <f t="shared" si="22"/>
        <v>0</v>
      </c>
      <c r="L37" s="374">
        <f t="shared" si="22"/>
        <v>0</v>
      </c>
      <c r="M37" s="374">
        <f t="shared" si="22"/>
        <v>0</v>
      </c>
      <c r="N37" s="374">
        <f t="shared" si="22"/>
        <v>0</v>
      </c>
      <c r="O37" s="374"/>
      <c r="P37" s="374"/>
      <c r="Q37" s="374"/>
      <c r="R37" s="374"/>
      <c r="S37" s="374"/>
      <c r="T37" s="374"/>
      <c r="U37" s="374"/>
    </row>
    <row r="38" spans="2:22">
      <c r="B38" s="373" t="s">
        <v>349</v>
      </c>
      <c r="C38" s="108">
        <f>SUMIFS($C$27:$V$27,$C$3:$V$3,"&lt;="&amp;C$33,$C$3:$V$3,"&gt;="&amp;EOMONTH(C33,-2))</f>
        <v>0</v>
      </c>
      <c r="D38" s="108">
        <f t="shared" ref="D38:N38" si="23">SUMIFS($C$27:$V$27,$C$3:$V$3,"&lt;="&amp;D$33,$C$3:$V$3,"&gt;="&amp;EOMONTH(D33,-2))</f>
        <v>57</v>
      </c>
      <c r="E38" s="108">
        <f t="shared" si="23"/>
        <v>69</v>
      </c>
      <c r="F38" s="108">
        <f t="shared" si="23"/>
        <v>62</v>
      </c>
      <c r="G38" s="108">
        <f t="shared" si="23"/>
        <v>58</v>
      </c>
      <c r="H38" s="108">
        <f t="shared" si="23"/>
        <v>0</v>
      </c>
      <c r="I38" s="108">
        <f t="shared" si="23"/>
        <v>0</v>
      </c>
      <c r="J38" s="108">
        <f t="shared" si="23"/>
        <v>0</v>
      </c>
      <c r="K38" s="108">
        <f t="shared" si="23"/>
        <v>0</v>
      </c>
      <c r="L38" s="108">
        <f t="shared" si="23"/>
        <v>0</v>
      </c>
      <c r="M38" s="108">
        <f t="shared" si="23"/>
        <v>0</v>
      </c>
      <c r="N38" s="108">
        <f t="shared" si="23"/>
        <v>0</v>
      </c>
    </row>
    <row r="39" spans="2:22">
      <c r="B39" s="373" t="s">
        <v>357</v>
      </c>
      <c r="C39" s="108">
        <f>SUMIFS($C$28:$V$28,$C$3:$V$3,"&lt;="&amp;C$33,$C$3:$V$3,"&gt;="&amp;EOMONTH(C33,-2))</f>
        <v>0</v>
      </c>
      <c r="D39" s="108">
        <f t="shared" ref="D39:N39" si="24">SUMIFS($C$28:$V$28,$C$3:$V$3,"&lt;="&amp;D$33,$C$3:$V$3,"&gt;="&amp;EOMONTH(D33,-2))</f>
        <v>60</v>
      </c>
      <c r="E39" s="108">
        <f t="shared" si="24"/>
        <v>69</v>
      </c>
      <c r="F39" s="108">
        <f t="shared" si="24"/>
        <v>56</v>
      </c>
      <c r="G39" s="108">
        <f t="shared" si="24"/>
        <v>48</v>
      </c>
      <c r="H39" s="108">
        <f t="shared" si="24"/>
        <v>0</v>
      </c>
      <c r="I39" s="108">
        <f t="shared" si="24"/>
        <v>0</v>
      </c>
      <c r="J39" s="108">
        <f t="shared" si="24"/>
        <v>0</v>
      </c>
      <c r="K39" s="108">
        <f t="shared" si="24"/>
        <v>0</v>
      </c>
      <c r="L39" s="108">
        <f t="shared" si="24"/>
        <v>0</v>
      </c>
      <c r="M39" s="108">
        <f t="shared" si="24"/>
        <v>0</v>
      </c>
      <c r="N39" s="108">
        <f t="shared" si="24"/>
        <v>0</v>
      </c>
    </row>
    <row r="40" spans="2:22">
      <c r="B40" s="373" t="s">
        <v>123</v>
      </c>
      <c r="C40" s="108">
        <f>SUMIFS($C$29:$V$29,$C$3:$V$3,"&lt;="&amp;C$33,$C$3:$V$3,"&gt;="&amp;EOMONTH(C33,-2))</f>
        <v>0</v>
      </c>
      <c r="D40" s="108">
        <f t="shared" ref="D40:N40" si="25">SUMIFS($C$29:$V$29,$C$3:$V$3,"&lt;="&amp;D$33,$C$3:$V$3,"&gt;="&amp;EOMONTH(D33,-2))</f>
        <v>40</v>
      </c>
      <c r="E40" s="108">
        <f t="shared" si="25"/>
        <v>51</v>
      </c>
      <c r="F40" s="108">
        <f t="shared" si="25"/>
        <v>82</v>
      </c>
      <c r="G40" s="108">
        <f t="shared" si="25"/>
        <v>69</v>
      </c>
      <c r="H40" s="108">
        <f t="shared" si="25"/>
        <v>0</v>
      </c>
      <c r="I40" s="108">
        <f t="shared" si="25"/>
        <v>0</v>
      </c>
      <c r="J40" s="108">
        <f t="shared" si="25"/>
        <v>0</v>
      </c>
      <c r="K40" s="108">
        <f t="shared" si="25"/>
        <v>0</v>
      </c>
      <c r="L40" s="108">
        <f t="shared" si="25"/>
        <v>0</v>
      </c>
      <c r="M40" s="108">
        <f t="shared" si="25"/>
        <v>0</v>
      </c>
      <c r="N40" s="108">
        <f t="shared" si="25"/>
        <v>0</v>
      </c>
    </row>
    <row r="42" spans="2:22">
      <c r="B42" s="245" t="s">
        <v>358</v>
      </c>
      <c r="C42" s="383">
        <v>43100</v>
      </c>
      <c r="D42" s="383">
        <f>EOMONTH(C42,3)</f>
        <v>43190</v>
      </c>
      <c r="E42" s="383">
        <f t="shared" ref="E42:N42" si="26">EOMONTH(D42,3)</f>
        <v>43281</v>
      </c>
      <c r="F42" s="383">
        <f t="shared" si="26"/>
        <v>43373</v>
      </c>
      <c r="G42" s="383">
        <f t="shared" si="26"/>
        <v>43465</v>
      </c>
      <c r="H42" s="383">
        <f t="shared" si="26"/>
        <v>43555</v>
      </c>
      <c r="I42" s="383">
        <f t="shared" si="26"/>
        <v>43646</v>
      </c>
      <c r="J42" s="383">
        <f t="shared" si="26"/>
        <v>43738</v>
      </c>
      <c r="K42" s="383">
        <f t="shared" si="26"/>
        <v>43830</v>
      </c>
      <c r="L42" s="383">
        <f t="shared" si="26"/>
        <v>43921</v>
      </c>
      <c r="M42" s="383">
        <f t="shared" si="26"/>
        <v>44012</v>
      </c>
      <c r="N42" s="383">
        <f t="shared" si="26"/>
        <v>44104</v>
      </c>
      <c r="O42" s="383">
        <f t="shared" ref="O42" si="27">EOMONTH(N42,3)</f>
        <v>44196</v>
      </c>
      <c r="P42" s="383">
        <f t="shared" ref="P42" si="28">EOMONTH(O42,3)</f>
        <v>44286</v>
      </c>
      <c r="Q42" s="383">
        <f t="shared" ref="Q42" si="29">EOMONTH(P42,3)</f>
        <v>44377</v>
      </c>
      <c r="R42" s="383">
        <f t="shared" ref="R42" si="30">EOMONTH(Q42,3)</f>
        <v>44469</v>
      </c>
      <c r="S42" s="383">
        <f t="shared" ref="S42" si="31">EOMONTH(R42,3)</f>
        <v>44561</v>
      </c>
      <c r="T42" s="383">
        <f t="shared" ref="T42" si="32">EOMONTH(S42,3)</f>
        <v>44651</v>
      </c>
      <c r="U42" s="383">
        <f t="shared" ref="U42" si="33">EOMONTH(T42,3)</f>
        <v>44742</v>
      </c>
      <c r="V42" s="383">
        <f t="shared" ref="V42" si="34">EOMONTH(U42,3)</f>
        <v>44834</v>
      </c>
    </row>
    <row r="43" spans="2:22">
      <c r="B43" s="373" t="s">
        <v>115</v>
      </c>
      <c r="C43" s="109">
        <v>112636276</v>
      </c>
      <c r="D43" s="117">
        <f>SUMIF($C$2:D$2,"="&amp;YEAR(D$42),$C$34:D$34)</f>
        <v>20525900</v>
      </c>
      <c r="E43" s="117">
        <f>SUMIF($C$2:E$2,"="&amp;YEAR(E$42),$C$34:E$34)</f>
        <v>42908600</v>
      </c>
      <c r="F43" s="117">
        <f>SUMIF($C$2:F$2,"="&amp;YEAR(F$42),$C$34:F$34)</f>
        <v>84370100</v>
      </c>
      <c r="G43" s="117">
        <f>SUMIF($C$2:G$2,"="&amp;YEAR(G$42),$C$34:G$34)</f>
        <v>120647200</v>
      </c>
      <c r="H43" s="117">
        <f>SUMIF($C$2:H$2,"="&amp;YEAR(H$42),$C$34:H$34)</f>
        <v>0</v>
      </c>
      <c r="I43" s="117">
        <f>SUMIF($C$2:I$2,"="&amp;YEAR(I$42),$C$34:I$34)</f>
        <v>0</v>
      </c>
      <c r="J43" s="117">
        <f>SUMIF($C$2:J$2,"="&amp;YEAR(J$42),$C$34:J$34)</f>
        <v>0</v>
      </c>
      <c r="K43" s="117">
        <f>SUMIF($C$2:K$2,"="&amp;YEAR(K$42),$C$34:K$34)</f>
        <v>0</v>
      </c>
      <c r="L43" s="117">
        <f>SUMIF($C$2:L$2,"="&amp;YEAR(L$42),$C$34:L$34)</f>
        <v>0</v>
      </c>
      <c r="M43" s="117">
        <f>SUMIF($C$2:M$2,"="&amp;YEAR(M$42),$C$34:M$34)</f>
        <v>0</v>
      </c>
      <c r="N43" s="117">
        <f>SUMIF($C$2:N$2,"="&amp;YEAR(N$42),$C$34:N$34)</f>
        <v>0</v>
      </c>
      <c r="O43" s="117"/>
      <c r="P43" s="117"/>
      <c r="Q43" s="117"/>
      <c r="R43" s="117"/>
      <c r="S43" s="117"/>
      <c r="T43" s="117"/>
      <c r="U43" s="117"/>
    </row>
    <row r="44" spans="2:22">
      <c r="B44" s="373" t="s">
        <v>117</v>
      </c>
      <c r="C44" s="404">
        <v>29769539</v>
      </c>
      <c r="D44" s="374">
        <f>SUMIF($C$2:D$2,"="&amp;YEAR(D$42),$C$35:D$35)</f>
        <v>5719700</v>
      </c>
      <c r="E44" s="374">
        <f>SUMIF($C$2:E$2,"="&amp;YEAR(E$42),$C$35:E$35)</f>
        <v>11866400</v>
      </c>
      <c r="F44" s="374">
        <f>SUMIF($C$2:F$2,"="&amp;YEAR(F$42),$C$35:F$35)</f>
        <v>24012500</v>
      </c>
      <c r="G44" s="374">
        <f>SUMIF($C$2:G$2,"="&amp;YEAR(G$42),$C$35:G$35)</f>
        <v>34141400</v>
      </c>
      <c r="H44" s="374">
        <f>SUMIF($C$2:H$2,"="&amp;YEAR(H$42),$C$35:H$35)</f>
        <v>0</v>
      </c>
      <c r="I44" s="374">
        <f>SUMIF($C$2:I$2,"="&amp;YEAR(I$42),$C$35:I$35)</f>
        <v>0</v>
      </c>
      <c r="J44" s="374">
        <f>SUMIF($C$2:J$2,"="&amp;YEAR(J$42),$C$35:J$35)</f>
        <v>0</v>
      </c>
      <c r="K44" s="374">
        <f>SUMIF($C$2:K$2,"="&amp;YEAR(K$42),$C$35:K$35)</f>
        <v>0</v>
      </c>
      <c r="L44" s="374">
        <f>SUMIF($C$2:L$2,"="&amp;YEAR(L$42),$C$35:L$35)</f>
        <v>0</v>
      </c>
      <c r="M44" s="374">
        <f>SUMIF($C$2:M$2,"="&amp;YEAR(M$42),$C$35:M$35)</f>
        <v>0</v>
      </c>
      <c r="N44" s="374">
        <f>SUMIF($C$2:N$2,"="&amp;YEAR(N$42),$C$35:N$35)</f>
        <v>0</v>
      </c>
      <c r="O44" s="374"/>
      <c r="P44" s="374"/>
      <c r="Q44" s="374"/>
      <c r="R44" s="374"/>
      <c r="S44" s="374"/>
      <c r="T44" s="374"/>
      <c r="U44" s="374"/>
    </row>
    <row r="45" spans="2:22">
      <c r="B45" s="373" t="s">
        <v>119</v>
      </c>
      <c r="C45" s="404">
        <v>23055207</v>
      </c>
      <c r="D45" s="374">
        <f>SUMIF($C$2:D$2,"="&amp;YEAR(D$42),$C$36:D$36)</f>
        <v>4598200</v>
      </c>
      <c r="E45" s="374">
        <f>SUMIF($C$2:E$2,"="&amp;YEAR(E$42),$C$36:E$36)</f>
        <v>10046100</v>
      </c>
      <c r="F45" s="374">
        <f>SUMIF($C$2:F$2,"="&amp;YEAR(F$42),$C$36:F$36)</f>
        <v>16673100</v>
      </c>
      <c r="G45" s="374">
        <f>SUMIF($C$2:G$2,"="&amp;YEAR(G$42),$C$36:G$36)</f>
        <v>23080000</v>
      </c>
      <c r="H45" s="374">
        <f>SUMIF($C$2:H$2,"="&amp;YEAR(H$42),$C$36:H$36)</f>
        <v>0</v>
      </c>
      <c r="I45" s="374">
        <f>SUMIF($C$2:I$2,"="&amp;YEAR(I$42),$C$36:I$36)</f>
        <v>0</v>
      </c>
      <c r="J45" s="374">
        <f>SUMIF($C$2:J$2,"="&amp;YEAR(J$42),$C$36:J$36)</f>
        <v>0</v>
      </c>
      <c r="K45" s="374">
        <f>SUMIF($C$2:K$2,"="&amp;YEAR(K$42),$C$36:K$36)</f>
        <v>0</v>
      </c>
      <c r="L45" s="374">
        <f>SUMIF($C$2:L$2,"="&amp;YEAR(L$42),$C$36:L$36)</f>
        <v>0</v>
      </c>
      <c r="M45" s="374">
        <f>SUMIF($C$2:M$2,"="&amp;YEAR(M$42),$C$36:M$36)</f>
        <v>0</v>
      </c>
      <c r="N45" s="374">
        <f>SUMIF($C$2:N$2,"="&amp;YEAR(N$42),$C$36:N$36)</f>
        <v>0</v>
      </c>
      <c r="O45" s="374"/>
      <c r="P45" s="374"/>
      <c r="Q45" s="374"/>
      <c r="R45" s="374"/>
      <c r="S45" s="374"/>
      <c r="T45" s="374"/>
      <c r="U45" s="374"/>
    </row>
    <row r="46" spans="2:22">
      <c r="B46" s="373" t="s">
        <v>121</v>
      </c>
      <c r="C46" s="404">
        <v>6714332</v>
      </c>
      <c r="D46" s="374">
        <f>SUMIF($C$2:D$2,"="&amp;YEAR(D$42),$C$37:D$37)</f>
        <v>1121500</v>
      </c>
      <c r="E46" s="374">
        <f>SUMIF($C$2:E$2,"="&amp;YEAR(E$42),$C$37:E$37)</f>
        <v>1820300</v>
      </c>
      <c r="F46" s="374">
        <f>SUMIF($C$2:F$2,"="&amp;YEAR(F$42),$C$37:F$37)</f>
        <v>7339400</v>
      </c>
      <c r="G46" s="374">
        <f>SUMIF($C$2:G$2,"="&amp;YEAR(G$42),$C$37:G$37)</f>
        <v>11061400</v>
      </c>
      <c r="H46" s="374">
        <f>SUMIF($C$2:H$2,"="&amp;YEAR(H$42),$C$37:H$37)</f>
        <v>0</v>
      </c>
      <c r="I46" s="374">
        <f>SUMIF($C$2:I$2,"="&amp;YEAR(I$42),$C$37:I$37)</f>
        <v>0</v>
      </c>
      <c r="J46" s="374">
        <f>SUMIF($C$2:J$2,"="&amp;YEAR(J$42),$C$37:J$37)</f>
        <v>0</v>
      </c>
      <c r="K46" s="374">
        <f>SUMIF($C$2:K$2,"="&amp;YEAR(K$42),$C$37:K$37)</f>
        <v>0</v>
      </c>
      <c r="L46" s="374">
        <f>SUMIF($C$2:L$2,"="&amp;YEAR(L$42),$C$37:L$37)</f>
        <v>0</v>
      </c>
      <c r="M46" s="374">
        <f>SUMIF($C$2:M$2,"="&amp;YEAR(M$42),$C$37:M$37)</f>
        <v>0</v>
      </c>
      <c r="N46" s="374">
        <f>SUMIF($C$2:N$2,"="&amp;YEAR(N$42),$C$37:N$37)</f>
        <v>0</v>
      </c>
      <c r="O46" s="374"/>
      <c r="P46" s="374"/>
      <c r="Q46" s="374"/>
      <c r="R46" s="374"/>
      <c r="S46" s="374"/>
      <c r="T46" s="374"/>
      <c r="U46" s="374"/>
    </row>
    <row r="47" spans="2:22">
      <c r="B47" s="373" t="s">
        <v>349</v>
      </c>
      <c r="C47" s="405">
        <v>290</v>
      </c>
      <c r="D47" s="374">
        <f>SUMIF($C$2:D$2,"="&amp;YEAR(D$42),$C$38:D$38)</f>
        <v>57</v>
      </c>
      <c r="E47" s="374">
        <f>SUMIF($C$2:E$2,"="&amp;YEAR(E$42),$C$38:E$38)</f>
        <v>126</v>
      </c>
      <c r="F47" s="374">
        <f>SUMIF($C$2:F$2,"="&amp;YEAR(F$42),$C$38:F$38)</f>
        <v>188</v>
      </c>
      <c r="G47" s="374">
        <f>SUMIF($C$2:G$2,"="&amp;YEAR(G$42),$C$38:G$38)</f>
        <v>246</v>
      </c>
      <c r="H47" s="374">
        <f>SUMIF($C$2:H$2,"="&amp;YEAR(H$42),$C$38:H$38)</f>
        <v>0</v>
      </c>
      <c r="I47" s="374">
        <f>SUMIF($C$2:I$2,"="&amp;YEAR(I$42),$C$38:I$38)</f>
        <v>0</v>
      </c>
      <c r="J47" s="374">
        <f>SUMIF($C$2:J$2,"="&amp;YEAR(J$42),$C$38:J$38)</f>
        <v>0</v>
      </c>
      <c r="K47" s="374">
        <f>SUMIF($C$2:K$2,"="&amp;YEAR(K$42),$C$38:K$38)</f>
        <v>0</v>
      </c>
      <c r="L47" s="374">
        <f>SUMIF($C$2:L$2,"="&amp;YEAR(L$42),$C$38:L$38)</f>
        <v>0</v>
      </c>
      <c r="M47" s="374">
        <f>SUMIF($C$2:M$2,"="&amp;YEAR(M$42),$C$38:M$38)</f>
        <v>0</v>
      </c>
      <c r="N47" s="374">
        <f>SUMIF($C$2:N$2,"="&amp;YEAR(N$42),$C$38:N$38)</f>
        <v>0</v>
      </c>
      <c r="O47" s="374"/>
      <c r="P47" s="374"/>
      <c r="Q47" s="374"/>
      <c r="R47" s="374"/>
      <c r="S47" s="374"/>
      <c r="T47" s="374"/>
      <c r="U47" s="374"/>
    </row>
    <row r="48" spans="2:22">
      <c r="B48" s="373" t="s">
        <v>357</v>
      </c>
      <c r="C48" s="405">
        <v>284</v>
      </c>
      <c r="D48" s="374">
        <f>SUMIF($C$2:D$2,"="&amp;YEAR(D$42),$C$39:D$39)</f>
        <v>60</v>
      </c>
      <c r="E48" s="374">
        <f>SUMIF($C$2:E$2,"="&amp;YEAR(E$42),$C$39:E$39)</f>
        <v>129</v>
      </c>
      <c r="F48" s="374">
        <f>SUMIF($C$2:F$2,"="&amp;YEAR(F$42),$C$39:F$39)</f>
        <v>185</v>
      </c>
      <c r="G48" s="374">
        <f>SUMIF($C$2:G$2,"="&amp;YEAR(G$42),$C$39:G$39)</f>
        <v>233</v>
      </c>
      <c r="H48" s="374">
        <f>SUMIF($C$2:H$2,"="&amp;YEAR(H$42),$C$39:H$39)</f>
        <v>0</v>
      </c>
      <c r="I48" s="374">
        <f>SUMIF($C$2:I$2,"="&amp;YEAR(I$42),$C$39:I$39)</f>
        <v>0</v>
      </c>
      <c r="J48" s="374">
        <f>SUMIF($C$2:J$2,"="&amp;YEAR(J$42),$C$39:J$39)</f>
        <v>0</v>
      </c>
      <c r="K48" s="374">
        <f>SUMIF($C$2:K$2,"="&amp;YEAR(K$42),$C$39:K$39)</f>
        <v>0</v>
      </c>
      <c r="L48" s="374">
        <f>SUMIF($C$2:L$2,"="&amp;YEAR(L$42),$C$39:L$39)</f>
        <v>0</v>
      </c>
      <c r="M48" s="374">
        <f>SUMIF($C$2:M$2,"="&amp;YEAR(M$42),$C$39:M$39)</f>
        <v>0</v>
      </c>
      <c r="N48" s="374">
        <f>SUMIF($C$2:N$2,"="&amp;YEAR(N$42),$C$39:N$39)</f>
        <v>0</v>
      </c>
      <c r="O48" s="374"/>
      <c r="P48" s="374"/>
      <c r="Q48" s="374"/>
      <c r="R48" s="374"/>
      <c r="S48" s="374"/>
      <c r="T48" s="374"/>
      <c r="U48" s="374"/>
    </row>
    <row r="49" spans="2:22">
      <c r="B49" s="373" t="s">
        <v>123</v>
      </c>
      <c r="C49" s="405">
        <v>240</v>
      </c>
      <c r="D49" s="374">
        <f>SUMIF($C$2:D$2,"="&amp;YEAR(D$42),$C$40:D$40)</f>
        <v>40</v>
      </c>
      <c r="E49" s="374">
        <f>SUMIF($C$2:E$2,"="&amp;YEAR(E$42),$C$40:E$40)</f>
        <v>91</v>
      </c>
      <c r="F49" s="374">
        <f>SUMIF($C$2:F$2,"="&amp;YEAR(F$42),$C$40:F$40)</f>
        <v>173</v>
      </c>
      <c r="G49" s="374">
        <f>SUMIF($C$2:G$2,"="&amp;YEAR(G$42),$C$40:G$40)</f>
        <v>242</v>
      </c>
      <c r="H49" s="374">
        <f>SUMIF($C$2:H$2,"="&amp;YEAR(H$42),$C$40:H$40)</f>
        <v>0</v>
      </c>
      <c r="I49" s="374">
        <f>SUMIF($C$2:I$2,"="&amp;YEAR(I$42),$C$40:I$40)</f>
        <v>0</v>
      </c>
      <c r="J49" s="374">
        <f>SUMIF($C$2:J$2,"="&amp;YEAR(J$42),$C$40:J$40)</f>
        <v>0</v>
      </c>
      <c r="K49" s="374">
        <f>SUMIF($C$2:K$2,"="&amp;YEAR(K$42),$C$40:K$40)</f>
        <v>0</v>
      </c>
      <c r="L49" s="374">
        <f>SUMIF($C$2:L$2,"="&amp;YEAR(L$42),$C$40:L$40)</f>
        <v>0</v>
      </c>
      <c r="M49" s="374">
        <f>SUMIF($C$2:M$2,"="&amp;YEAR(M$42),$C$40:M$40)</f>
        <v>0</v>
      </c>
      <c r="N49" s="374">
        <f>SUMIF($C$2:N$2,"="&amp;YEAR(N$42),$C$40:N$40)</f>
        <v>0</v>
      </c>
      <c r="O49" s="374"/>
      <c r="P49" s="374"/>
      <c r="Q49" s="374"/>
      <c r="R49" s="374"/>
      <c r="S49" s="374"/>
      <c r="T49" s="374"/>
      <c r="U49" s="374"/>
    </row>
    <row r="51" spans="2:22">
      <c r="B51" s="245" t="s">
        <v>222</v>
      </c>
      <c r="C51" s="383">
        <v>43100</v>
      </c>
      <c r="D51" s="383">
        <f>EOMONTH(C51,3)</f>
        <v>43190</v>
      </c>
      <c r="E51" s="383">
        <f t="shared" ref="E51:N51" si="35">EOMONTH(D51,3)</f>
        <v>43281</v>
      </c>
      <c r="F51" s="383">
        <f t="shared" si="35"/>
        <v>43373</v>
      </c>
      <c r="G51" s="383">
        <f t="shared" si="35"/>
        <v>43465</v>
      </c>
      <c r="H51" s="383">
        <f t="shared" si="35"/>
        <v>43555</v>
      </c>
      <c r="I51" s="383">
        <f t="shared" si="35"/>
        <v>43646</v>
      </c>
      <c r="J51" s="383">
        <f t="shared" si="35"/>
        <v>43738</v>
      </c>
      <c r="K51" s="383">
        <f t="shared" si="35"/>
        <v>43830</v>
      </c>
      <c r="L51" s="383">
        <f t="shared" si="35"/>
        <v>43921</v>
      </c>
      <c r="M51" s="383">
        <f t="shared" si="35"/>
        <v>44012</v>
      </c>
      <c r="N51" s="383">
        <f t="shared" si="35"/>
        <v>44104</v>
      </c>
      <c r="O51" s="383">
        <f t="shared" ref="O51" si="36">EOMONTH(N51,3)</f>
        <v>44196</v>
      </c>
      <c r="P51" s="383">
        <f t="shared" ref="P51" si="37">EOMONTH(O51,3)</f>
        <v>44286</v>
      </c>
      <c r="Q51" s="383">
        <f t="shared" ref="Q51" si="38">EOMONTH(P51,3)</f>
        <v>44377</v>
      </c>
      <c r="R51" s="383">
        <f t="shared" ref="R51" si="39">EOMONTH(Q51,3)</f>
        <v>44469</v>
      </c>
      <c r="S51" s="383">
        <f t="shared" ref="S51" si="40">EOMONTH(R51,3)</f>
        <v>44561</v>
      </c>
      <c r="T51" s="383">
        <f t="shared" ref="T51" si="41">EOMONTH(S51,3)</f>
        <v>44651</v>
      </c>
      <c r="U51" s="383">
        <f t="shared" ref="U51" si="42">EOMONTH(T51,3)</f>
        <v>44742</v>
      </c>
      <c r="V51" s="383">
        <f t="shared" ref="V51" si="43">EOMONTH(U51,3)</f>
        <v>44834</v>
      </c>
    </row>
    <row r="52" spans="2:22">
      <c r="B52" s="373" t="s">
        <v>115</v>
      </c>
      <c r="C52" s="109">
        <v>112636276</v>
      </c>
      <c r="D52" s="122" t="s">
        <v>174</v>
      </c>
      <c r="E52" s="122" t="s">
        <v>174</v>
      </c>
      <c r="F52" s="117">
        <f>SUM(C34:F34)</f>
        <v>84370100</v>
      </c>
      <c r="G52" s="117">
        <f>SUM(D34:G34)</f>
        <v>120647200</v>
      </c>
      <c r="H52" s="117">
        <f t="shared" ref="H52:N52" si="44">SUM(E34:H34)</f>
        <v>100121300</v>
      </c>
      <c r="I52" s="117">
        <f t="shared" si="44"/>
        <v>77738600</v>
      </c>
      <c r="J52" s="117">
        <f t="shared" si="44"/>
        <v>36277100</v>
      </c>
      <c r="K52" s="117">
        <f t="shared" si="44"/>
        <v>0</v>
      </c>
      <c r="L52" s="117">
        <f t="shared" si="44"/>
        <v>0</v>
      </c>
      <c r="M52" s="117">
        <f t="shared" si="44"/>
        <v>0</v>
      </c>
      <c r="N52" s="117">
        <f t="shared" si="44"/>
        <v>0</v>
      </c>
      <c r="O52" s="117"/>
      <c r="P52" s="117"/>
      <c r="Q52" s="117"/>
      <c r="R52" s="117"/>
      <c r="S52" s="117"/>
      <c r="T52" s="117"/>
      <c r="U52" s="117"/>
    </row>
    <row r="53" spans="2:22">
      <c r="B53" s="373" t="s">
        <v>117</v>
      </c>
      <c r="C53" s="404">
        <v>29769539</v>
      </c>
      <c r="D53" s="122" t="s">
        <v>174</v>
      </c>
      <c r="E53" s="122" t="s">
        <v>174</v>
      </c>
      <c r="F53" s="374">
        <f t="shared" ref="F53:G53" si="45">SUM(C35:F35)</f>
        <v>24012500</v>
      </c>
      <c r="G53" s="374">
        <f t="shared" si="45"/>
        <v>34141400</v>
      </c>
      <c r="H53" s="374">
        <f t="shared" ref="H53:H58" si="46">SUM(E35:H35)</f>
        <v>28421700</v>
      </c>
      <c r="I53" s="374">
        <f t="shared" ref="I53:I58" si="47">SUM(F35:I35)</f>
        <v>22275000</v>
      </c>
      <c r="J53" s="374">
        <f t="shared" ref="J53:J58" si="48">SUM(G35:J35)</f>
        <v>10128900</v>
      </c>
      <c r="K53" s="374">
        <f t="shared" ref="K53:K58" si="49">SUM(H35:K35)</f>
        <v>0</v>
      </c>
      <c r="L53" s="374">
        <f t="shared" ref="L53:L58" si="50">SUM(I35:L35)</f>
        <v>0</v>
      </c>
      <c r="M53" s="374">
        <f t="shared" ref="M53:M58" si="51">SUM(J35:M35)</f>
        <v>0</v>
      </c>
      <c r="N53" s="374">
        <f t="shared" ref="N53:N58" si="52">SUM(K35:N35)</f>
        <v>0</v>
      </c>
      <c r="O53" s="374"/>
      <c r="P53" s="374"/>
      <c r="Q53" s="374"/>
      <c r="R53" s="374"/>
      <c r="S53" s="374"/>
      <c r="T53" s="374"/>
      <c r="U53" s="374"/>
    </row>
    <row r="54" spans="2:22">
      <c r="B54" s="373" t="s">
        <v>119</v>
      </c>
      <c r="C54" s="404">
        <v>23055207</v>
      </c>
      <c r="D54" s="122" t="s">
        <v>174</v>
      </c>
      <c r="E54" s="122" t="s">
        <v>174</v>
      </c>
      <c r="F54" s="374">
        <f t="shared" ref="F54:G54" si="53">SUM(C36:F36)</f>
        <v>16673100</v>
      </c>
      <c r="G54" s="374">
        <f t="shared" si="53"/>
        <v>23080000</v>
      </c>
      <c r="H54" s="374">
        <f t="shared" si="46"/>
        <v>18481800</v>
      </c>
      <c r="I54" s="374">
        <f t="shared" si="47"/>
        <v>13033900</v>
      </c>
      <c r="J54" s="374">
        <f t="shared" si="48"/>
        <v>6406900</v>
      </c>
      <c r="K54" s="374">
        <f t="shared" si="49"/>
        <v>0</v>
      </c>
      <c r="L54" s="374">
        <f t="shared" si="50"/>
        <v>0</v>
      </c>
      <c r="M54" s="374">
        <f t="shared" si="51"/>
        <v>0</v>
      </c>
      <c r="N54" s="374">
        <f t="shared" si="52"/>
        <v>0</v>
      </c>
      <c r="O54" s="374"/>
      <c r="P54" s="374"/>
      <c r="Q54" s="374"/>
      <c r="R54" s="374"/>
      <c r="S54" s="374"/>
      <c r="T54" s="374"/>
      <c r="U54" s="374"/>
    </row>
    <row r="55" spans="2:22">
      <c r="B55" s="373" t="s">
        <v>121</v>
      </c>
      <c r="C55" s="404">
        <v>6714332</v>
      </c>
      <c r="D55" s="122" t="s">
        <v>174</v>
      </c>
      <c r="E55" s="122" t="s">
        <v>174</v>
      </c>
      <c r="F55" s="374">
        <f t="shared" ref="F55:G55" si="54">SUM(C37:F37)</f>
        <v>7339400</v>
      </c>
      <c r="G55" s="374">
        <f t="shared" si="54"/>
        <v>11061400</v>
      </c>
      <c r="H55" s="374">
        <f t="shared" si="46"/>
        <v>9939900</v>
      </c>
      <c r="I55" s="374">
        <f t="shared" si="47"/>
        <v>9241100</v>
      </c>
      <c r="J55" s="374">
        <f t="shared" si="48"/>
        <v>3722000</v>
      </c>
      <c r="K55" s="374">
        <f t="shared" si="49"/>
        <v>0</v>
      </c>
      <c r="L55" s="374">
        <f t="shared" si="50"/>
        <v>0</v>
      </c>
      <c r="M55" s="374">
        <f t="shared" si="51"/>
        <v>0</v>
      </c>
      <c r="N55" s="374">
        <f t="shared" si="52"/>
        <v>0</v>
      </c>
      <c r="O55" s="374"/>
      <c r="P55" s="374"/>
      <c r="Q55" s="374"/>
      <c r="R55" s="374"/>
      <c r="S55" s="374"/>
      <c r="T55" s="374"/>
      <c r="U55" s="374"/>
    </row>
    <row r="56" spans="2:22">
      <c r="B56" s="373" t="s">
        <v>349</v>
      </c>
      <c r="C56" s="405">
        <v>290</v>
      </c>
      <c r="D56" s="122" t="s">
        <v>174</v>
      </c>
      <c r="E56" s="122" t="s">
        <v>174</v>
      </c>
      <c r="F56" s="108">
        <f t="shared" ref="F56:G56" si="55">SUM(C38:F38)</f>
        <v>188</v>
      </c>
      <c r="G56" s="108">
        <f t="shared" si="55"/>
        <v>246</v>
      </c>
      <c r="H56" s="108">
        <f t="shared" si="46"/>
        <v>189</v>
      </c>
      <c r="I56" s="108">
        <f t="shared" si="47"/>
        <v>120</v>
      </c>
      <c r="J56" s="108">
        <f t="shared" si="48"/>
        <v>58</v>
      </c>
      <c r="K56" s="108">
        <f t="shared" si="49"/>
        <v>0</v>
      </c>
      <c r="L56" s="108">
        <f t="shared" si="50"/>
        <v>0</v>
      </c>
      <c r="M56" s="108">
        <f t="shared" si="51"/>
        <v>0</v>
      </c>
      <c r="N56" s="108">
        <f t="shared" si="52"/>
        <v>0</v>
      </c>
    </row>
    <row r="57" spans="2:22">
      <c r="B57" s="373" t="s">
        <v>357</v>
      </c>
      <c r="C57" s="405">
        <v>284</v>
      </c>
      <c r="D57" s="122" t="s">
        <v>174</v>
      </c>
      <c r="E57" s="122" t="s">
        <v>174</v>
      </c>
      <c r="F57" s="108">
        <f t="shared" ref="F57:G57" si="56">SUM(C39:F39)</f>
        <v>185</v>
      </c>
      <c r="G57" s="108">
        <f t="shared" si="56"/>
        <v>233</v>
      </c>
      <c r="H57" s="108">
        <f t="shared" si="46"/>
        <v>173</v>
      </c>
      <c r="I57" s="108">
        <f t="shared" si="47"/>
        <v>104</v>
      </c>
      <c r="J57" s="108">
        <f t="shared" si="48"/>
        <v>48</v>
      </c>
      <c r="K57" s="108">
        <f t="shared" si="49"/>
        <v>0</v>
      </c>
      <c r="L57" s="108">
        <f t="shared" si="50"/>
        <v>0</v>
      </c>
      <c r="M57" s="108">
        <f t="shared" si="51"/>
        <v>0</v>
      </c>
      <c r="N57" s="108">
        <f t="shared" si="52"/>
        <v>0</v>
      </c>
    </row>
    <row r="58" spans="2:22">
      <c r="B58" s="373" t="s">
        <v>123</v>
      </c>
      <c r="C58" s="405">
        <v>240</v>
      </c>
      <c r="D58" s="122" t="s">
        <v>174</v>
      </c>
      <c r="E58" s="122" t="s">
        <v>174</v>
      </c>
      <c r="F58" s="108">
        <f t="shared" ref="F58:G58" si="57">SUM(C40:F40)</f>
        <v>173</v>
      </c>
      <c r="G58" s="108">
        <f t="shared" si="57"/>
        <v>242</v>
      </c>
      <c r="H58" s="108">
        <f t="shared" si="46"/>
        <v>202</v>
      </c>
      <c r="I58" s="108">
        <f t="shared" si="47"/>
        <v>151</v>
      </c>
      <c r="J58" s="108">
        <f t="shared" si="48"/>
        <v>69</v>
      </c>
      <c r="K58" s="108">
        <f t="shared" si="49"/>
        <v>0</v>
      </c>
      <c r="L58" s="108">
        <f t="shared" si="50"/>
        <v>0</v>
      </c>
      <c r="M58" s="108">
        <f t="shared" si="51"/>
        <v>0</v>
      </c>
      <c r="N58" s="108">
        <f t="shared" si="52"/>
        <v>0</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rgb="FF585858"/>
  </sheetPr>
  <dimension ref="A2:T56"/>
  <sheetViews>
    <sheetView showGridLines="0" topLeftCell="A13" zoomScaleNormal="100" workbookViewId="0">
      <selection activeCell="Y36" sqref="Y36"/>
    </sheetView>
  </sheetViews>
  <sheetFormatPr defaultColWidth="9.1796875" defaultRowHeight="14"/>
  <cols>
    <col min="1" max="1" width="9.1796875" style="108"/>
    <col min="2" max="2" width="22.453125" style="108" customWidth="1"/>
    <col min="3" max="4" width="9.1796875" style="108"/>
    <col min="5" max="6" width="10.1796875" style="108" bestFit="1" customWidth="1"/>
    <col min="7" max="8" width="9.453125" style="108" bestFit="1" customWidth="1"/>
    <col min="9" max="10" width="9.1796875" style="108"/>
    <col min="11" max="11" width="9.453125" style="108" bestFit="1" customWidth="1"/>
    <col min="12" max="12" width="9.1796875" style="108"/>
    <col min="13" max="18" width="9.453125" style="108" bestFit="1" customWidth="1"/>
    <col min="19" max="19" width="10.453125" style="108" customWidth="1"/>
    <col min="20" max="20" width="12.453125" style="108" customWidth="1"/>
    <col min="21" max="23" width="9.453125" style="108" bestFit="1" customWidth="1"/>
    <col min="24" max="16384" width="9.1796875" style="108"/>
  </cols>
  <sheetData>
    <row r="2" spans="2:20">
      <c r="B2" s="323" t="s">
        <v>359</v>
      </c>
      <c r="C2" s="50"/>
      <c r="D2" s="50"/>
      <c r="E2" s="50"/>
      <c r="F2" s="50"/>
      <c r="G2" s="50"/>
      <c r="H2" s="50"/>
      <c r="I2" s="50"/>
      <c r="J2" s="50"/>
      <c r="K2" s="50"/>
      <c r="L2" s="50"/>
      <c r="M2" s="50"/>
      <c r="N2" s="50"/>
    </row>
    <row r="3" spans="2:20">
      <c r="B3" s="82"/>
      <c r="C3" s="83">
        <f t="shared" ref="C3:M3" si="0">EOMONTH(D3,-1)</f>
        <v>45777</v>
      </c>
      <c r="D3" s="83">
        <f t="shared" si="0"/>
        <v>45808</v>
      </c>
      <c r="E3" s="83">
        <f t="shared" si="0"/>
        <v>45838</v>
      </c>
      <c r="F3" s="83">
        <f t="shared" si="0"/>
        <v>45869</v>
      </c>
      <c r="G3" s="83">
        <f t="shared" si="0"/>
        <v>45900</v>
      </c>
      <c r="H3" s="83">
        <f t="shared" si="0"/>
        <v>45930</v>
      </c>
      <c r="I3" s="83">
        <f t="shared" si="0"/>
        <v>45961</v>
      </c>
      <c r="J3" s="83">
        <f t="shared" si="0"/>
        <v>45991</v>
      </c>
      <c r="K3" s="83">
        <f t="shared" si="0"/>
        <v>46022</v>
      </c>
      <c r="L3" s="83">
        <f t="shared" si="0"/>
        <v>46053</v>
      </c>
      <c r="M3" s="83">
        <f t="shared" si="0"/>
        <v>46081</v>
      </c>
      <c r="N3" s="83">
        <f>Summary!P2</f>
        <v>46112</v>
      </c>
      <c r="P3" s="83">
        <f>EOMONTH(Q3,-3)</f>
        <v>45747</v>
      </c>
      <c r="Q3" s="83">
        <f>EOMONTH(R3,-3)</f>
        <v>45838</v>
      </c>
      <c r="R3" s="83">
        <f>EOMONTH(S3,-3)</f>
        <v>45930</v>
      </c>
      <c r="S3" s="83">
        <f>EOMONTH(T3,-3)</f>
        <v>46022</v>
      </c>
      <c r="T3" s="83">
        <f>T31</f>
        <v>46112</v>
      </c>
    </row>
    <row r="4" spans="2:20">
      <c r="B4" s="237" t="s">
        <v>181</v>
      </c>
      <c r="C4" s="236">
        <f>INDEX(Inventory!$B$3:$ZZ$6,MATCH('Graph Support'!$B4,Inventory!$B$3:$B$6,0),MATCH('Graph Support'!C$3,Inventory!$B$3:$ZZ$3,0))</f>
        <v>363.66666666666669</v>
      </c>
      <c r="D4" s="236">
        <f>INDEX(Inventory!$B$3:$ZZ$6,MATCH('Graph Support'!$B4,Inventory!$B$3:$B$6,0),MATCH('Graph Support'!D$3,Inventory!$B$3:$ZZ$3,0))</f>
        <v>364</v>
      </c>
      <c r="E4" s="236">
        <f>INDEX(Inventory!$B$3:$ZZ$6,MATCH('Graph Support'!$B4,Inventory!$B$3:$B$6,0),MATCH('Graph Support'!E$3,Inventory!$B$3:$ZZ$3,0))</f>
        <v>364</v>
      </c>
      <c r="F4" s="236">
        <f>INDEX(Inventory!$B$3:$ZZ$6,MATCH('Graph Support'!$B4,Inventory!$B$3:$B$6,0),MATCH('Graph Support'!F$3,Inventory!$B$3:$ZZ$3,0))</f>
        <v>523</v>
      </c>
      <c r="G4" s="236">
        <f>INDEX(Inventory!$B$3:$ZZ$6,MATCH('Graph Support'!$B4,Inventory!$B$3:$B$6,0),MATCH('Graph Support'!G$3,Inventory!$B$3:$ZZ$3,0))</f>
        <v>523</v>
      </c>
      <c r="H4" s="236">
        <f>INDEX(Inventory!$B$3:$ZZ$6,MATCH('Graph Support'!$B4,Inventory!$B$3:$B$6,0),MATCH('Graph Support'!H$3,Inventory!$B$3:$ZZ$3,0))</f>
        <v>523</v>
      </c>
      <c r="I4" s="236">
        <f>INDEX(Inventory!$B$3:$ZZ$6,MATCH('Graph Support'!$B4,Inventory!$B$3:$B$6,0),MATCH('Graph Support'!I$3,Inventory!$B$3:$ZZ$3,0))</f>
        <v>523</v>
      </c>
      <c r="J4" s="236">
        <f>INDEX(Inventory!$B$3:$ZZ$6,MATCH('Graph Support'!$B4,Inventory!$B$3:$B$6,0),MATCH('Graph Support'!J$3,Inventory!$B$3:$ZZ$3,0))</f>
        <v>523</v>
      </c>
      <c r="K4" s="236">
        <f>INDEX(Inventory!$B$3:$ZZ$6,MATCH('Graph Support'!$B4,Inventory!$B$3:$B$6,0),MATCH('Graph Support'!K$3,Inventory!$B$3:$ZZ$3,0))</f>
        <v>523</v>
      </c>
      <c r="L4" s="236">
        <f>INDEX(Inventory!$B$3:$ZZ$6,MATCH('Graph Support'!$B4,Inventory!$B$3:$B$6,0),MATCH('Graph Support'!L$3,Inventory!$B$3:$ZZ$3,0))</f>
        <v>293.66666666666669</v>
      </c>
      <c r="M4" s="236">
        <f>INDEX(Inventory!$B$3:$ZZ$6,MATCH('Graph Support'!$B4,Inventory!$B$3:$B$6,0),MATCH('Graph Support'!M$3,Inventory!$B$3:$ZZ$3,0))</f>
        <v>293.66666666666669</v>
      </c>
      <c r="N4" s="321">
        <f>INDEX(Inventory!$B$3:$ZZ$6,MATCH('Graph Support'!$B4,Inventory!$B$3:$B$6,0),MATCH('Graph Support'!N$3,Inventory!$B$3:$ZZ$3,0))</f>
        <v>293.66666666666669</v>
      </c>
      <c r="P4" s="321">
        <f>INDEX(Inventory!$B$3:$ZZ$6,MATCH('Graph Support'!$B4,Inventory!$B$3:$B$6,0),MATCH('Graph Support'!P$3,Inventory!$B$3:$ZZ$3,0))*3</f>
        <v>1437</v>
      </c>
      <c r="Q4" s="321">
        <f>INDEX(Inventory!$B$3:$ZZ$6,MATCH('Graph Support'!$B4,Inventory!$B$3:$B$6,0),MATCH('Graph Support'!Q$3,Inventory!$B$3:$ZZ$3,0))*3</f>
        <v>1092</v>
      </c>
      <c r="R4" s="321">
        <f>INDEX(Inventory!$B$3:$ZZ$6,MATCH('Graph Support'!$B4,Inventory!$B$3:$B$6,0),MATCH('Graph Support'!R$3,Inventory!$B$3:$ZZ$3,0))*3</f>
        <v>1569</v>
      </c>
      <c r="S4" s="321">
        <f>INDEX(Inventory!$B$3:$ZZ$6,MATCH('Graph Support'!$B4,Inventory!$B$3:$B$6,0),MATCH('Graph Support'!S$3,Inventory!$B$3:$ZZ$3,0))*3</f>
        <v>1569</v>
      </c>
      <c r="T4" s="321">
        <f>INDEX(Inventory!$B$3:$ZZ$6,MATCH('Graph Support'!$B4,Inventory!$B$3:$B$6,0),MATCH('Graph Support'!T$3,Inventory!$B$3:$ZZ$3,0))*3</f>
        <v>881</v>
      </c>
    </row>
    <row r="5" spans="2:20">
      <c r="B5" s="237" t="s">
        <v>190</v>
      </c>
      <c r="C5" s="238" t="e">
        <f>INDEX(Inventory!$B$13:$ZZ$17,MATCH('Graph Support'!$B$5,Inventory!$B$13:$B$17,0),MATCH('Graph Support'!C3,Inventory!$B$13:$DE$13,0))</f>
        <v>#N/A</v>
      </c>
      <c r="D5" s="238" t="e">
        <f>INDEX(Inventory!$B$13:$ZZ$17,MATCH('Graph Support'!$B$5,Inventory!$B$13:$B$17,0),MATCH('Graph Support'!D3,Inventory!$B$13:$DE$13,0))</f>
        <v>#N/A</v>
      </c>
      <c r="E5" s="238" t="e">
        <f>INDEX(Inventory!$B$13:$ZZ$17,MATCH('Graph Support'!$B$5,Inventory!$B$13:$B$17,0),MATCH('Graph Support'!E3,Inventory!$B$13:$DE$13,0))</f>
        <v>#N/A</v>
      </c>
      <c r="F5" s="238" t="e">
        <f>INDEX(Inventory!$B$13:$ZZ$17,MATCH('Graph Support'!$B$5,Inventory!$B$13:$B$17,0),MATCH('Graph Support'!F3,Inventory!$B$13:$DE$13,0))</f>
        <v>#N/A</v>
      </c>
      <c r="G5" s="238" t="e">
        <f>INDEX(Inventory!$B$13:$ZZ$17,MATCH('Graph Support'!$B$5,Inventory!$B$13:$B$17,0),MATCH('Graph Support'!G3,Inventory!$B$13:$DE$13,0))</f>
        <v>#N/A</v>
      </c>
      <c r="H5" s="238" t="e">
        <f>INDEX(Inventory!$B$13:$ZZ$17,MATCH('Graph Support'!$B$5,Inventory!$B$13:$B$17,0),MATCH('Graph Support'!H3,Inventory!$B$13:$DE$13,0))</f>
        <v>#N/A</v>
      </c>
      <c r="I5" s="238" t="e">
        <f>INDEX(Inventory!$B$13:$ZZ$17,MATCH('Graph Support'!$B$5,Inventory!$B$13:$B$17,0),MATCH('Graph Support'!I3,Inventory!$B$13:$DE$13,0))</f>
        <v>#N/A</v>
      </c>
      <c r="J5" s="238" t="e">
        <f>INDEX(Inventory!$B$13:$ZZ$17,MATCH('Graph Support'!$B$5,Inventory!$B$13:$B$17,0),MATCH('Graph Support'!J3,Inventory!$B$13:$DE$13,0))</f>
        <v>#N/A</v>
      </c>
      <c r="K5" s="238" t="e">
        <f>INDEX(Inventory!$B$13:$ZZ$17,MATCH('Graph Support'!$B$5,Inventory!$B$13:$B$17,0),MATCH('Graph Support'!K3,Inventory!$B$13:$DE$13,0))</f>
        <v>#N/A</v>
      </c>
      <c r="L5" s="238" t="e">
        <f>INDEX(Inventory!$B$13:$ZZ$17,MATCH('Graph Support'!$B$5,Inventory!$B$13:$B$17,0),MATCH('Graph Support'!L3,Inventory!$B$13:$DE$13,0))</f>
        <v>#N/A</v>
      </c>
      <c r="M5" s="238" t="e">
        <f>INDEX(Inventory!$B$13:$ZZ$17,MATCH('Graph Support'!$B$5,Inventory!$B$13:$B$17,0),MATCH('Graph Support'!M3,Inventory!$B$13:$DE$13,0))</f>
        <v>#N/A</v>
      </c>
      <c r="N5" s="239" t="e">
        <f>INDEX(Inventory!$B$13:$ZZ$17,MATCH('Graph Support'!$B$5,Inventory!$B$13:$B$17,0),MATCH('Graph Support'!N3,Inventory!$B$13:$DE$13,0))</f>
        <v>#N/A</v>
      </c>
      <c r="P5" s="239">
        <f>INDEX(Inventory!$B$13:$ZZ$17,MATCH('Graph Support'!$B$5,Inventory!$B$13:$B$17,0),MATCH('Graph Support'!P3,Inventory!$B$13:$ZZ$13,0))*3</f>
        <v>279.84587813620089</v>
      </c>
      <c r="Q5" s="239">
        <f>INDEX(Inventory!$B$13:$ZZ$17,MATCH('Graph Support'!$B$5,Inventory!$B$13:$B$17,0),MATCH('Graph Support'!Q3,Inventory!$B$13:$ZZ$13,0))*3</f>
        <v>348.63324538258576</v>
      </c>
      <c r="R5" s="239">
        <f>INDEX(Inventory!$B$13:$ZZ$17,MATCH('Graph Support'!$B$5,Inventory!$B$13:$B$17,0),MATCH('Graph Support'!R3,Inventory!$B$13:$ZZ$13,0))*3</f>
        <v>613.19749652294854</v>
      </c>
      <c r="S5" s="239">
        <f>INDEX(Inventory!$B$13:$ZZ$17,MATCH('Graph Support'!$B$5,Inventory!$B$13:$B$17,0),MATCH('Graph Support'!S3,Inventory!$B$13:$ZZ$13,0))*3</f>
        <v>765.8214285714289</v>
      </c>
      <c r="T5" s="239">
        <f>INDEX(Inventory!$B$13:$ZZ$17,MATCH('Graph Support'!$B$5,Inventory!$B$13:$B$17,0),MATCH('Graph Support'!T3,Inventory!$B$13:$ZZ$13,0))*3</f>
        <v>738.48529411764707</v>
      </c>
    </row>
    <row r="6" spans="2:20">
      <c r="B6" s="243" t="s">
        <v>185</v>
      </c>
      <c r="C6" s="319">
        <f>INDEX(Inventory!$B$8:$ZZ$11,MATCH('Graph Support'!$B6,Inventory!$B$8:$B$11,0),MATCH('Graph Support'!C$3,Inventory!$B$8:$ZZ$8,0))</f>
        <v>441</v>
      </c>
      <c r="D6" s="319">
        <f>INDEX(Inventory!$B$8:$ZZ$11,MATCH('Graph Support'!$B6,Inventory!$B$8:$B$11,0),MATCH('Graph Support'!D$3,Inventory!$B$8:$ZZ$8,0))</f>
        <v>441</v>
      </c>
      <c r="E6" s="319">
        <f>INDEX(Inventory!$B$8:$ZZ$11,MATCH('Graph Support'!$B6,Inventory!$B$8:$B$11,0),MATCH('Graph Support'!E$3,Inventory!$B$8:$ZZ$8,0))</f>
        <v>441</v>
      </c>
      <c r="F6" s="319">
        <f>INDEX(Inventory!$B$8:$ZZ$11,MATCH('Graph Support'!$B6,Inventory!$B$8:$B$11,0),MATCH('Graph Support'!F$3,Inventory!$B$8:$ZZ$8,0))</f>
        <v>355</v>
      </c>
      <c r="G6" s="319">
        <f>INDEX(Inventory!$B$8:$ZZ$11,MATCH('Graph Support'!$B6,Inventory!$B$8:$B$11,0),MATCH('Graph Support'!G$3,Inventory!$B$8:$ZZ$8,0))</f>
        <v>355</v>
      </c>
      <c r="H6" s="319">
        <f>INDEX(Inventory!$B$8:$ZZ$11,MATCH('Graph Support'!$B6,Inventory!$B$8:$B$11,0),MATCH('Graph Support'!H$3,Inventory!$B$8:$ZZ$8,0))</f>
        <v>355</v>
      </c>
      <c r="I6" s="319">
        <f>INDEX(Inventory!$B$8:$ZZ$11,MATCH('Graph Support'!$B6,Inventory!$B$8:$B$11,0),MATCH('Graph Support'!I$3,Inventory!$B$8:$ZZ$8,0))</f>
        <v>355</v>
      </c>
      <c r="J6" s="319">
        <f>INDEX(Inventory!$B$8:$ZZ$11,MATCH('Graph Support'!$B6,Inventory!$B$8:$B$11,0),MATCH('Graph Support'!J$3,Inventory!$B$8:$ZZ$8,0))</f>
        <v>355</v>
      </c>
      <c r="K6" s="319">
        <f>INDEX(Inventory!$B$8:$ZZ$11,MATCH('Graph Support'!$B6,Inventory!$B$8:$B$11,0),MATCH('Graph Support'!K$3,Inventory!$B$8:$ZZ$8,0))</f>
        <v>355</v>
      </c>
      <c r="L6" s="319">
        <f>INDEX(Inventory!$B$8:$ZZ$11,MATCH('Graph Support'!$B6,Inventory!$B$8:$B$11,0),MATCH('Graph Support'!L$3,Inventory!$B$8:$ZZ$8,0))</f>
        <v>293.66666666666669</v>
      </c>
      <c r="M6" s="319">
        <f>INDEX(Inventory!$B$8:$ZZ$11,MATCH('Graph Support'!$B6,Inventory!$B$8:$B$11,0),MATCH('Graph Support'!M$3,Inventory!$B$8:$ZZ$8,0))</f>
        <v>293.66666666666669</v>
      </c>
      <c r="N6" s="320">
        <f>INDEX(Inventory!$B$8:$ZZ$11,MATCH('Graph Support'!$B6,Inventory!$B$8:$B$11,0),MATCH('Graph Support'!N$3,Inventory!$B$8:$ZZ$8,0))</f>
        <v>293.66666666666669</v>
      </c>
      <c r="P6" s="320">
        <f>INDEX(Inventory!$B$8:$ZZ$11,MATCH('Graph Support'!$B6,Inventory!$B$8:$B$11,0),MATCH('Graph Support'!P$3,Inventory!$B$8:$ZZ$8,0))</f>
        <v>332</v>
      </c>
      <c r="Q6" s="320">
        <f>INDEX(Inventory!$B$8:$ZZ$11,MATCH('Graph Support'!$B6,Inventory!$B$8:$B$11,0),MATCH('Graph Support'!Q$3,Inventory!$B$8:$ZZ$8,0))</f>
        <v>441</v>
      </c>
      <c r="R6" s="320">
        <f>INDEX(Inventory!$B$8:$ZZ$11,MATCH('Graph Support'!$B6,Inventory!$B$8:$B$11,0),MATCH('Graph Support'!R$3,Inventory!$B$8:$ZZ$8,0))</f>
        <v>355</v>
      </c>
      <c r="S6" s="320">
        <f>INDEX(Inventory!$B$8:$ZZ$11,MATCH('Graph Support'!$B6,Inventory!$B$8:$B$11,0),MATCH('Graph Support'!S$3,Inventory!$B$8:$ZZ$8,0))</f>
        <v>355</v>
      </c>
      <c r="T6" s="320">
        <f>INDEX(Inventory!$B$8:$ZZ$11,MATCH('Graph Support'!$B6,Inventory!$B$8:$B$11,0),MATCH('Graph Support'!T$3,Inventory!$B$8:$ZZ$8,0))</f>
        <v>293.66666666666669</v>
      </c>
    </row>
    <row r="7" spans="2:20">
      <c r="B7" s="4"/>
      <c r="C7" s="4"/>
      <c r="D7" s="4"/>
      <c r="E7" s="4"/>
      <c r="F7" s="4"/>
      <c r="G7" s="4"/>
      <c r="H7" s="4"/>
      <c r="I7" s="4"/>
      <c r="J7" s="4"/>
      <c r="K7" s="4"/>
      <c r="L7" s="4"/>
      <c r="M7" s="4"/>
      <c r="N7" s="4"/>
    </row>
    <row r="8" spans="2:20">
      <c r="B8" s="323" t="s">
        <v>360</v>
      </c>
      <c r="C8" s="50"/>
      <c r="D8" s="50"/>
      <c r="E8" s="50"/>
      <c r="F8" s="50"/>
      <c r="G8" s="50"/>
      <c r="H8" s="50"/>
      <c r="I8" s="50"/>
      <c r="J8" s="50"/>
      <c r="K8" s="50"/>
      <c r="L8" s="50"/>
      <c r="M8" s="50"/>
      <c r="N8" s="50"/>
    </row>
    <row r="9" spans="2:20">
      <c r="B9" s="82"/>
      <c r="C9" s="83">
        <f t="shared" ref="C9:M9" si="1">EOMONTH(D9,-1)</f>
        <v>45777</v>
      </c>
      <c r="D9" s="83">
        <f t="shared" si="1"/>
        <v>45808</v>
      </c>
      <c r="E9" s="83">
        <f t="shared" si="1"/>
        <v>45838</v>
      </c>
      <c r="F9" s="83">
        <f t="shared" si="1"/>
        <v>45869</v>
      </c>
      <c r="G9" s="83">
        <f t="shared" si="1"/>
        <v>45900</v>
      </c>
      <c r="H9" s="83">
        <f t="shared" si="1"/>
        <v>45930</v>
      </c>
      <c r="I9" s="83">
        <f t="shared" si="1"/>
        <v>45961</v>
      </c>
      <c r="J9" s="83">
        <f t="shared" si="1"/>
        <v>45991</v>
      </c>
      <c r="K9" s="83">
        <f t="shared" si="1"/>
        <v>46022</v>
      </c>
      <c r="L9" s="83">
        <f t="shared" si="1"/>
        <v>46053</v>
      </c>
      <c r="M9" s="83">
        <f t="shared" si="1"/>
        <v>46081</v>
      </c>
      <c r="N9" s="83">
        <f>Summary!P2</f>
        <v>46112</v>
      </c>
    </row>
    <row r="10" spans="2:20">
      <c r="B10" s="237" t="s">
        <v>181</v>
      </c>
      <c r="C10" s="236">
        <f>INDEX(Inventory!$B$45:$ZZ$49,MATCH('Graph Support'!$B10,Inventory!$B$45:$B$49,0),MATCH('Graph Support'!C$3,Inventory!$B$45:$ZZ$45,0))</f>
        <v>441</v>
      </c>
      <c r="D10" s="236">
        <f>INDEX(Inventory!$B$45:$ZZ$49,MATCH('Graph Support'!$B10,Inventory!$B$45:$B$49,0),MATCH('Graph Support'!D$3,Inventory!$B$45:$ZZ$45,0))</f>
        <v>441</v>
      </c>
      <c r="E10" s="236">
        <f>INDEX(Inventory!$B$45:$ZZ$49,MATCH('Graph Support'!$B10,Inventory!$B$45:$B$49,0),MATCH('Graph Support'!E$3,Inventory!$B$45:$ZZ$45,0))</f>
        <v>441</v>
      </c>
      <c r="F10" s="236">
        <f>INDEX(Inventory!$B$45:$ZZ$49,MATCH('Graph Support'!$B10,Inventory!$B$45:$B$49,0),MATCH('Graph Support'!F$3,Inventory!$B$45:$ZZ$45,0))</f>
        <v>0</v>
      </c>
      <c r="G10" s="236">
        <f>INDEX(Inventory!$B$45:$ZZ$49,MATCH('Graph Support'!$B10,Inventory!$B$45:$B$49,0),MATCH('Graph Support'!G$3,Inventory!$B$45:$ZZ$45,0))</f>
        <v>0</v>
      </c>
      <c r="H10" s="236">
        <f>INDEX(Inventory!$B$45:$ZZ$49,MATCH('Graph Support'!$B10,Inventory!$B$45:$B$49,0),MATCH('Graph Support'!H$3,Inventory!$B$45:$ZZ$45,0))</f>
        <v>0</v>
      </c>
      <c r="I10" s="236">
        <f>INDEX(Inventory!$B$45:$ZZ$49,MATCH('Graph Support'!$B10,Inventory!$B$45:$B$49,0),MATCH('Graph Support'!I$3,Inventory!$B$45:$ZZ$45,0))</f>
        <v>0</v>
      </c>
      <c r="J10" s="236">
        <f>INDEX(Inventory!$B$45:$ZZ$49,MATCH('Graph Support'!$B10,Inventory!$B$45:$B$49,0),MATCH('Graph Support'!J$3,Inventory!$B$45:$ZZ$45,0))</f>
        <v>0</v>
      </c>
      <c r="K10" s="236">
        <f>INDEX(Inventory!$B$45:$ZZ$49,MATCH('Graph Support'!$B10,Inventory!$B$45:$B$49,0),MATCH('Graph Support'!K$3,Inventory!$B$45:$ZZ$45,0))</f>
        <v>0</v>
      </c>
      <c r="L10" s="236">
        <f>INDEX(Inventory!$B$45:$ZZ$49,MATCH('Graph Support'!$B10,Inventory!$B$45:$B$49,0),MATCH('Graph Support'!L$3,Inventory!$B$45:$ZZ$45,0))</f>
        <v>0</v>
      </c>
      <c r="M10" s="236">
        <f>INDEX(Inventory!$B$45:$ZZ$49,MATCH('Graph Support'!$B10,Inventory!$B$45:$B$49,0),MATCH('Graph Support'!M$3,Inventory!$B$45:$ZZ$45,0))</f>
        <v>0</v>
      </c>
      <c r="N10" s="321">
        <f>INDEX(Inventory!$B$45:$ZZ$49,MATCH('Graph Support'!$B10,Inventory!$B$45:$B$49,0),MATCH('Graph Support'!N$3,Inventory!$B$45:$ZZ$45,0))</f>
        <v>0</v>
      </c>
    </row>
    <row r="11" spans="2:20">
      <c r="B11" s="243" t="s">
        <v>185</v>
      </c>
      <c r="C11" s="319">
        <f>INDEX(Inventory!$B$52:$ZZ$56,MATCH('Graph Support'!$B11,Inventory!$B$52:$B$56,0),MATCH('Graph Support'!C$3,Inventory!$B$52:$ZZ$52,0))</f>
        <v>441</v>
      </c>
      <c r="D11" s="319">
        <f>INDEX(Inventory!$B$52:$ZZ$56,MATCH('Graph Support'!$B11,Inventory!$B$52:$B$56,0),MATCH('Graph Support'!D$3,Inventory!$B$52:$ZZ$52,0))</f>
        <v>441</v>
      </c>
      <c r="E11" s="319">
        <f>INDEX(Inventory!$B$52:$ZZ$56,MATCH('Graph Support'!$B11,Inventory!$B$52:$B$56,0),MATCH('Graph Support'!E$3,Inventory!$B$52:$ZZ$52,0))</f>
        <v>441</v>
      </c>
      <c r="F11" s="319">
        <f>INDEX(Inventory!$B$52:$ZZ$56,MATCH('Graph Support'!$B11,Inventory!$B$52:$B$56,0),MATCH('Graph Support'!F$3,Inventory!$B$52:$ZZ$52,0))</f>
        <v>0</v>
      </c>
      <c r="G11" s="319">
        <f>INDEX(Inventory!$B$52:$ZZ$56,MATCH('Graph Support'!$B11,Inventory!$B$52:$B$56,0),MATCH('Graph Support'!G$3,Inventory!$B$52:$ZZ$52,0))</f>
        <v>0</v>
      </c>
      <c r="H11" s="319">
        <f>INDEX(Inventory!$B$52:$ZZ$56,MATCH('Graph Support'!$B11,Inventory!$B$52:$B$56,0),MATCH('Graph Support'!H$3,Inventory!$B$52:$ZZ$52,0))</f>
        <v>0</v>
      </c>
      <c r="I11" s="319">
        <f>INDEX(Inventory!$B$52:$ZZ$56,MATCH('Graph Support'!$B11,Inventory!$B$52:$B$56,0),MATCH('Graph Support'!I$3,Inventory!$B$52:$ZZ$52,0))</f>
        <v>0</v>
      </c>
      <c r="J11" s="319">
        <f>INDEX(Inventory!$B$52:$ZZ$56,MATCH('Graph Support'!$B11,Inventory!$B$52:$B$56,0),MATCH('Graph Support'!J$3,Inventory!$B$52:$ZZ$52,0))</f>
        <v>0</v>
      </c>
      <c r="K11" s="319">
        <f>INDEX(Inventory!$B$52:$ZZ$56,MATCH('Graph Support'!$B11,Inventory!$B$52:$B$56,0),MATCH('Graph Support'!K$3,Inventory!$B$52:$ZZ$52,0))</f>
        <v>0</v>
      </c>
      <c r="L11" s="319">
        <f>INDEX(Inventory!$B$52:$ZZ$56,MATCH('Graph Support'!$B11,Inventory!$B$52:$B$56,0),MATCH('Graph Support'!L$3,Inventory!$B$52:$ZZ$52,0))</f>
        <v>0</v>
      </c>
      <c r="M11" s="319">
        <f>INDEX(Inventory!$B$52:$ZZ$56,MATCH('Graph Support'!$B11,Inventory!$B$52:$B$56,0),MATCH('Graph Support'!M$3,Inventory!$B$52:$ZZ$52,0))</f>
        <v>0</v>
      </c>
      <c r="N11" s="320">
        <f>INDEX(Inventory!$B$52:$ZZ$56,MATCH('Graph Support'!$B11,Inventory!$B$52:$B$56,0),MATCH('Graph Support'!N$3,Inventory!$B$52:$ZZ$52,0))</f>
        <v>0</v>
      </c>
    </row>
    <row r="12" spans="2:20">
      <c r="B12" s="4"/>
      <c r="C12" s="4"/>
      <c r="D12" s="4"/>
      <c r="E12" s="4"/>
      <c r="F12" s="4"/>
      <c r="G12" s="4"/>
      <c r="H12" s="4"/>
      <c r="I12" s="4"/>
      <c r="J12" s="4"/>
      <c r="K12" s="4"/>
      <c r="L12" s="4"/>
      <c r="M12" s="4"/>
      <c r="N12" s="4"/>
    </row>
    <row r="13" spans="2:20">
      <c r="B13" s="786" t="s">
        <v>361</v>
      </c>
      <c r="C13" s="787"/>
      <c r="D13" s="787"/>
      <c r="E13" s="787"/>
      <c r="F13" s="787"/>
      <c r="G13" s="787"/>
      <c r="H13" s="787"/>
      <c r="I13" s="787"/>
      <c r="J13" s="787"/>
      <c r="K13" s="787"/>
      <c r="L13" s="787"/>
      <c r="M13" s="787"/>
      <c r="N13" s="788"/>
    </row>
    <row r="14" spans="2:20">
      <c r="B14" s="211"/>
      <c r="C14" s="212">
        <f t="shared" ref="C14:M14" si="2">EOMONTH(D14,-1)</f>
        <v>45777</v>
      </c>
      <c r="D14" s="212">
        <f t="shared" si="2"/>
        <v>45808</v>
      </c>
      <c r="E14" s="212">
        <f t="shared" si="2"/>
        <v>45838</v>
      </c>
      <c r="F14" s="212">
        <f t="shared" si="2"/>
        <v>45869</v>
      </c>
      <c r="G14" s="212">
        <f t="shared" si="2"/>
        <v>45900</v>
      </c>
      <c r="H14" s="212">
        <f t="shared" si="2"/>
        <v>45930</v>
      </c>
      <c r="I14" s="212">
        <f t="shared" si="2"/>
        <v>45961</v>
      </c>
      <c r="J14" s="212">
        <f t="shared" si="2"/>
        <v>45991</v>
      </c>
      <c r="K14" s="212">
        <f t="shared" si="2"/>
        <v>46022</v>
      </c>
      <c r="L14" s="212">
        <f t="shared" si="2"/>
        <v>46053</v>
      </c>
      <c r="M14" s="212">
        <f t="shared" si="2"/>
        <v>46081</v>
      </c>
      <c r="N14" s="212">
        <f>Summary!$P$2</f>
        <v>46112</v>
      </c>
    </row>
    <row r="15" spans="2:20">
      <c r="B15" s="206" t="s">
        <v>194</v>
      </c>
      <c r="C15" s="213">
        <f>INDEX(Inventory!$B$19:$ZZ$28,MATCH('Graph Support'!$B15,Inventory!$B$19:$B$28,0),MATCH('Graph Support'!C$14,Inventory!$B$19:$ZZ$19,0))</f>
        <v>0</v>
      </c>
      <c r="D15" s="213">
        <f>INDEX(Inventory!$B$19:$ZZ$28,MATCH('Graph Support'!$B15,Inventory!$B$19:$B$28,0),MATCH('Graph Support'!D$14,Inventory!$B$19:$ZZ$19,0))</f>
        <v>0</v>
      </c>
      <c r="E15" s="213">
        <f>INDEX(Inventory!$B$19:$ZZ$28,MATCH('Graph Support'!$B15,Inventory!$B$19:$B$28,0),MATCH('Graph Support'!E$14,Inventory!$B$19:$ZZ$19,0))</f>
        <v>0</v>
      </c>
      <c r="F15" s="213">
        <f>INDEX(Inventory!$B$19:$ZZ$28,MATCH('Graph Support'!$B15,Inventory!$B$19:$B$28,0),MATCH('Graph Support'!F$14,Inventory!$B$19:$ZZ$19,0))</f>
        <v>0</v>
      </c>
      <c r="G15" s="213">
        <f>INDEX(Inventory!$B$19:$ZZ$28,MATCH('Graph Support'!$B15,Inventory!$B$19:$B$28,0),MATCH('Graph Support'!G$14,Inventory!$B$19:$ZZ$19,0))</f>
        <v>0</v>
      </c>
      <c r="H15" s="213">
        <f>INDEX(Inventory!$B$19:$ZZ$28,MATCH('Graph Support'!$B15,Inventory!$B$19:$B$28,0),MATCH('Graph Support'!H$14,Inventory!$B$19:$ZZ$19,0))</f>
        <v>0</v>
      </c>
      <c r="I15" s="213">
        <f>INDEX(Inventory!$B$19:$ZZ$28,MATCH('Graph Support'!$B15,Inventory!$B$19:$B$28,0),MATCH('Graph Support'!I$14,Inventory!$B$19:$ZZ$19,0))</f>
        <v>0</v>
      </c>
      <c r="J15" s="213">
        <f>INDEX(Inventory!$B$19:$ZZ$28,MATCH('Graph Support'!$B15,Inventory!$B$19:$B$28,0),MATCH('Graph Support'!J$14,Inventory!$B$19:$ZZ$19,0))</f>
        <v>0</v>
      </c>
      <c r="K15" s="213">
        <f>INDEX(Inventory!$B$19:$ZZ$28,MATCH('Graph Support'!$B15,Inventory!$B$19:$B$28,0),MATCH('Graph Support'!K$14,Inventory!$B$19:$ZZ$19,0))</f>
        <v>0</v>
      </c>
      <c r="L15" s="213">
        <f>INDEX(Inventory!$B$19:$ZZ$28,MATCH('Graph Support'!$B15,Inventory!$B$19:$B$28,0),MATCH('Graph Support'!L$14,Inventory!$B$19:$ZZ$19,0))</f>
        <v>0</v>
      </c>
      <c r="M15" s="213">
        <f>INDEX(Inventory!$B$19:$ZZ$28,MATCH('Graph Support'!$B15,Inventory!$B$19:$B$28,0),MATCH('Graph Support'!M$14,Inventory!$B$19:$ZZ$19,0))</f>
        <v>0</v>
      </c>
      <c r="N15" s="214">
        <f>INDEX(Inventory!$B$19:$ZZ$28,MATCH('Graph Support'!$B15,Inventory!$B$19:$B$28,0),MATCH('Graph Support'!N$14,Inventory!$B$19:$ZZ$19,0))</f>
        <v>0</v>
      </c>
    </row>
    <row r="16" spans="2:20">
      <c r="B16" s="215" t="s">
        <v>195</v>
      </c>
      <c r="C16" s="128">
        <f>INDEX(Inventory!$B$19:$ZZ$28,MATCH('Graph Support'!$B16,Inventory!$B$19:$B$28,0),MATCH('Graph Support'!C$14,Inventory!$B$19:$ZZ$19,0))</f>
        <v>0</v>
      </c>
      <c r="D16" s="128">
        <f>INDEX(Inventory!$B$19:$ZZ$28,MATCH('Graph Support'!$B16,Inventory!$B$19:$B$28,0),MATCH('Graph Support'!D$14,Inventory!$B$19:$ZZ$19,0))</f>
        <v>0</v>
      </c>
      <c r="E16" s="128">
        <f>INDEX(Inventory!$B$19:$ZZ$28,MATCH('Graph Support'!$B16,Inventory!$B$19:$B$28,0),MATCH('Graph Support'!E$14,Inventory!$B$19:$ZZ$19,0))</f>
        <v>0</v>
      </c>
      <c r="F16" s="128">
        <f>INDEX(Inventory!$B$19:$ZZ$28,MATCH('Graph Support'!$B16,Inventory!$B$19:$B$28,0),MATCH('Graph Support'!F$14,Inventory!$B$19:$ZZ$19,0))</f>
        <v>0</v>
      </c>
      <c r="G16" s="128">
        <f>INDEX(Inventory!$B$19:$ZZ$28,MATCH('Graph Support'!$B16,Inventory!$B$19:$B$28,0),MATCH('Graph Support'!G$14,Inventory!$B$19:$ZZ$19,0))</f>
        <v>0</v>
      </c>
      <c r="H16" s="128">
        <f>INDEX(Inventory!$B$19:$ZZ$28,MATCH('Graph Support'!$B16,Inventory!$B$19:$B$28,0),MATCH('Graph Support'!H$14,Inventory!$B$19:$ZZ$19,0))</f>
        <v>0</v>
      </c>
      <c r="I16" s="128">
        <f>INDEX(Inventory!$B$19:$ZZ$28,MATCH('Graph Support'!$B16,Inventory!$B$19:$B$28,0),MATCH('Graph Support'!I$14,Inventory!$B$19:$ZZ$19,0))</f>
        <v>0</v>
      </c>
      <c r="J16" s="128">
        <f>INDEX(Inventory!$B$19:$ZZ$28,MATCH('Graph Support'!$B16,Inventory!$B$19:$B$28,0),MATCH('Graph Support'!J$14,Inventory!$B$19:$ZZ$19,0))</f>
        <v>0</v>
      </c>
      <c r="K16" s="128">
        <f>INDEX(Inventory!$B$19:$ZZ$28,MATCH('Graph Support'!$B16,Inventory!$B$19:$B$28,0),MATCH('Graph Support'!K$14,Inventory!$B$19:$ZZ$19,0))</f>
        <v>0</v>
      </c>
      <c r="L16" s="128">
        <f>INDEX(Inventory!$B$19:$ZZ$28,MATCH('Graph Support'!$B16,Inventory!$B$19:$B$28,0),MATCH('Graph Support'!L$14,Inventory!$B$19:$ZZ$19,0))</f>
        <v>0</v>
      </c>
      <c r="M16" s="128">
        <f>INDEX(Inventory!$B$19:$ZZ$28,MATCH('Graph Support'!$B16,Inventory!$B$19:$B$28,0),MATCH('Graph Support'!M$14,Inventory!$B$19:$ZZ$19,0))</f>
        <v>0</v>
      </c>
      <c r="N16" s="216">
        <f>INDEX(Inventory!$B$19:$ZZ$28,MATCH('Graph Support'!$B16,Inventory!$B$19:$B$28,0),MATCH('Graph Support'!N$14,Inventory!$B$19:$ZZ$19,0))</f>
        <v>0</v>
      </c>
    </row>
    <row r="17" spans="2:20">
      <c r="B17" s="218" t="s">
        <v>100</v>
      </c>
      <c r="C17" s="219">
        <f t="shared" ref="C17:N17" si="3">SUM(C15:C16)</f>
        <v>0</v>
      </c>
      <c r="D17" s="219">
        <f t="shared" si="3"/>
        <v>0</v>
      </c>
      <c r="E17" s="219">
        <f t="shared" si="3"/>
        <v>0</v>
      </c>
      <c r="F17" s="219">
        <f t="shared" si="3"/>
        <v>0</v>
      </c>
      <c r="G17" s="219">
        <f t="shared" si="3"/>
        <v>0</v>
      </c>
      <c r="H17" s="219">
        <f t="shared" si="3"/>
        <v>0</v>
      </c>
      <c r="I17" s="219">
        <f t="shared" si="3"/>
        <v>0</v>
      </c>
      <c r="J17" s="219">
        <f t="shared" si="3"/>
        <v>0</v>
      </c>
      <c r="K17" s="219">
        <f t="shared" si="3"/>
        <v>0</v>
      </c>
      <c r="L17" s="219">
        <f t="shared" si="3"/>
        <v>0</v>
      </c>
      <c r="M17" s="219">
        <f t="shared" si="3"/>
        <v>0</v>
      </c>
      <c r="N17" s="220">
        <f t="shared" si="3"/>
        <v>0</v>
      </c>
    </row>
    <row r="18" spans="2:20">
      <c r="B18" s="221" t="s">
        <v>196</v>
      </c>
      <c r="C18" s="222">
        <f>INDEX(Inventory!$B$19:$ZZ$28,MATCH('Graph Support'!$B18,Inventory!$B$19:$B$28,0),MATCH('Graph Support'!C$14,Inventory!$B$19:$ZZ$19,0))</f>
        <v>808</v>
      </c>
      <c r="D18" s="222">
        <f>INDEX(Inventory!$B$19:$ZZ$28,MATCH('Graph Support'!$B18,Inventory!$B$19:$B$28,0),MATCH('Graph Support'!D$14,Inventory!$B$19:$ZZ$19,0))</f>
        <v>808</v>
      </c>
      <c r="E18" s="222">
        <f>INDEX(Inventory!$B$19:$ZZ$28,MATCH('Graph Support'!$B18,Inventory!$B$19:$B$28,0),MATCH('Graph Support'!E$14,Inventory!$B$19:$ZZ$19,0))</f>
        <v>808</v>
      </c>
      <c r="F18" s="222">
        <f>INDEX(Inventory!$B$19:$ZZ$28,MATCH('Graph Support'!$B18,Inventory!$B$19:$B$28,0),MATCH('Graph Support'!F$14,Inventory!$B$19:$ZZ$19,0))</f>
        <v>895</v>
      </c>
      <c r="G18" s="222">
        <f>INDEX(Inventory!$B$19:$ZZ$28,MATCH('Graph Support'!$B18,Inventory!$B$19:$B$28,0),MATCH('Graph Support'!G$14,Inventory!$B$19:$ZZ$19,0))</f>
        <v>895</v>
      </c>
      <c r="H18" s="222">
        <f>INDEX(Inventory!$B$19:$ZZ$28,MATCH('Graph Support'!$B18,Inventory!$B$19:$B$28,0),MATCH('Graph Support'!H$14,Inventory!$B$19:$ZZ$19,0))</f>
        <v>895</v>
      </c>
      <c r="I18" s="222">
        <f>INDEX(Inventory!$B$19:$ZZ$28,MATCH('Graph Support'!$B18,Inventory!$B$19:$B$28,0),MATCH('Graph Support'!I$14,Inventory!$B$19:$ZZ$19,0))</f>
        <v>464.66666666666669</v>
      </c>
      <c r="J18" s="222">
        <f>INDEX(Inventory!$B$19:$ZZ$28,MATCH('Graph Support'!$B18,Inventory!$B$19:$B$28,0),MATCH('Graph Support'!J$14,Inventory!$B$19:$ZZ$19,0))</f>
        <v>465</v>
      </c>
      <c r="K18" s="222">
        <f>INDEX(Inventory!$B$19:$ZZ$28,MATCH('Graph Support'!$B18,Inventory!$B$19:$B$28,0),MATCH('Graph Support'!K$14,Inventory!$B$19:$ZZ$19,0))</f>
        <v>465</v>
      </c>
      <c r="L18" s="222">
        <f>INDEX(Inventory!$B$19:$ZZ$28,MATCH('Graph Support'!$B18,Inventory!$B$19:$B$28,0),MATCH('Graph Support'!L$14,Inventory!$B$19:$ZZ$19,0))</f>
        <v>1699</v>
      </c>
      <c r="M18" s="222">
        <f>INDEX(Inventory!$B$19:$ZZ$28,MATCH('Graph Support'!$B18,Inventory!$B$19:$B$28,0),MATCH('Graph Support'!M$14,Inventory!$B$19:$ZZ$19,0))</f>
        <v>1699</v>
      </c>
      <c r="N18" s="223">
        <f>INDEX(Inventory!$B$19:$ZZ$28,MATCH('Graph Support'!$B18,Inventory!$B$19:$B$28,0),MATCH('Graph Support'!N$14,Inventory!$B$19:$ZZ$19,0))</f>
        <v>1699</v>
      </c>
    </row>
    <row r="19" spans="2:20">
      <c r="B19" s="221" t="s">
        <v>197</v>
      </c>
      <c r="C19" s="222">
        <f>INDEX(Inventory!$B$19:$ZZ$28,MATCH('Graph Support'!$B19,Inventory!$B$19:$B$28,0),MATCH('Graph Support'!C$14,Inventory!$B$19:$ZZ$19,0))</f>
        <v>1512</v>
      </c>
      <c r="D19" s="222">
        <f>INDEX(Inventory!$B$19:$ZZ$28,MATCH('Graph Support'!$B19,Inventory!$B$19:$B$28,0),MATCH('Graph Support'!D$14,Inventory!$B$19:$ZZ$19,0))</f>
        <v>1512</v>
      </c>
      <c r="E19" s="222">
        <f>INDEX(Inventory!$B$19:$ZZ$28,MATCH('Graph Support'!$B19,Inventory!$B$19:$B$28,0),MATCH('Graph Support'!E$14,Inventory!$B$19:$ZZ$19,0))</f>
        <v>1512</v>
      </c>
      <c r="F19" s="222">
        <f>INDEX(Inventory!$B$19:$ZZ$28,MATCH('Graph Support'!$B19,Inventory!$B$19:$B$28,0),MATCH('Graph Support'!F$14,Inventory!$B$19:$ZZ$19,0))</f>
        <v>2801</v>
      </c>
      <c r="G19" s="222">
        <f>INDEX(Inventory!$B$19:$ZZ$28,MATCH('Graph Support'!$B19,Inventory!$B$19:$B$28,0),MATCH('Graph Support'!G$14,Inventory!$B$19:$ZZ$19,0))</f>
        <v>2801</v>
      </c>
      <c r="H19" s="222">
        <f>INDEX(Inventory!$B$19:$ZZ$28,MATCH('Graph Support'!$B19,Inventory!$B$19:$B$28,0),MATCH('Graph Support'!H$14,Inventory!$B$19:$ZZ$19,0))</f>
        <v>2801</v>
      </c>
      <c r="I19" s="222">
        <f>INDEX(Inventory!$B$19:$ZZ$28,MATCH('Graph Support'!$B19,Inventory!$B$19:$B$28,0),MATCH('Graph Support'!I$14,Inventory!$B$19:$ZZ$19,0))</f>
        <v>0</v>
      </c>
      <c r="J19" s="222">
        <f>INDEX(Inventory!$B$19:$ZZ$28,MATCH('Graph Support'!$B19,Inventory!$B$19:$B$28,0),MATCH('Graph Support'!J$14,Inventory!$B$19:$ZZ$19,0))</f>
        <v>0</v>
      </c>
      <c r="K19" s="222">
        <f>INDEX(Inventory!$B$19:$ZZ$28,MATCH('Graph Support'!$B19,Inventory!$B$19:$B$28,0),MATCH('Graph Support'!K$14,Inventory!$B$19:$ZZ$19,0))</f>
        <v>0</v>
      </c>
      <c r="L19" s="222">
        <f>INDEX(Inventory!$B$19:$ZZ$28,MATCH('Graph Support'!$B19,Inventory!$B$19:$B$28,0),MATCH('Graph Support'!L$14,Inventory!$B$19:$ZZ$19,0))</f>
        <v>1355</v>
      </c>
      <c r="M19" s="222">
        <f>INDEX(Inventory!$B$19:$ZZ$28,MATCH('Graph Support'!$B19,Inventory!$B$19:$B$28,0),MATCH('Graph Support'!M$14,Inventory!$B$19:$ZZ$19,0))</f>
        <v>1355</v>
      </c>
      <c r="N19" s="223">
        <f>INDEX(Inventory!$B$19:$ZZ$28,MATCH('Graph Support'!$B19,Inventory!$B$19:$B$28,0),MATCH('Graph Support'!N$14,Inventory!$B$19:$ZZ$19,0))</f>
        <v>1355</v>
      </c>
    </row>
    <row r="20" spans="2:20">
      <c r="B20" s="221" t="s">
        <v>198</v>
      </c>
      <c r="C20" s="222">
        <f>INDEX(Inventory!$B$19:$ZZ$28,MATCH('Graph Support'!$B20,Inventory!$B$19:$B$28,0),MATCH('Graph Support'!C$14,Inventory!$B$19:$ZZ$19,0))</f>
        <v>0</v>
      </c>
      <c r="D20" s="222">
        <f>INDEX(Inventory!$B$19:$ZZ$28,MATCH('Graph Support'!$B20,Inventory!$B$19:$B$28,0),MATCH('Graph Support'!D$14,Inventory!$B$19:$ZZ$19,0))</f>
        <v>0</v>
      </c>
      <c r="E20" s="222">
        <f>INDEX(Inventory!$B$19:$ZZ$28,MATCH('Graph Support'!$B20,Inventory!$B$19:$B$28,0),MATCH('Graph Support'!E$14,Inventory!$B$19:$ZZ$19,0))</f>
        <v>0</v>
      </c>
      <c r="F20" s="222">
        <f>INDEX(Inventory!$B$19:$ZZ$28,MATCH('Graph Support'!$B20,Inventory!$B$19:$B$28,0),MATCH('Graph Support'!F$14,Inventory!$B$19:$ZZ$19,0))</f>
        <v>0</v>
      </c>
      <c r="G20" s="222">
        <f>INDEX(Inventory!$B$19:$ZZ$28,MATCH('Graph Support'!$B20,Inventory!$B$19:$B$28,0),MATCH('Graph Support'!G$14,Inventory!$B$19:$ZZ$19,0))</f>
        <v>0</v>
      </c>
      <c r="H20" s="222">
        <f>INDEX(Inventory!$B$19:$ZZ$28,MATCH('Graph Support'!$B20,Inventory!$B$19:$B$28,0),MATCH('Graph Support'!H$14,Inventory!$B$19:$ZZ$19,0))</f>
        <v>0</v>
      </c>
      <c r="I20" s="222">
        <f>INDEX(Inventory!$B$19:$ZZ$28,MATCH('Graph Support'!$B20,Inventory!$B$19:$B$28,0),MATCH('Graph Support'!I$14,Inventory!$B$19:$ZZ$19,0))</f>
        <v>0</v>
      </c>
      <c r="J20" s="222">
        <f>INDEX(Inventory!$B$19:$ZZ$28,MATCH('Graph Support'!$B20,Inventory!$B$19:$B$28,0),MATCH('Graph Support'!J$14,Inventory!$B$19:$ZZ$19,0))</f>
        <v>0</v>
      </c>
      <c r="K20" s="222">
        <f>INDEX(Inventory!$B$19:$ZZ$28,MATCH('Graph Support'!$B20,Inventory!$B$19:$B$28,0),MATCH('Graph Support'!K$14,Inventory!$B$19:$ZZ$19,0))</f>
        <v>0</v>
      </c>
      <c r="L20" s="222">
        <f>INDEX(Inventory!$B$19:$ZZ$28,MATCH('Graph Support'!$B20,Inventory!$B$19:$B$28,0),MATCH('Graph Support'!L$14,Inventory!$B$19:$ZZ$19,0))</f>
        <v>0</v>
      </c>
      <c r="M20" s="222">
        <f>INDEX(Inventory!$B$19:$ZZ$28,MATCH('Graph Support'!$B20,Inventory!$B$19:$B$28,0),MATCH('Graph Support'!M$14,Inventory!$B$19:$ZZ$19,0))</f>
        <v>0</v>
      </c>
      <c r="N20" s="223">
        <f>INDEX(Inventory!$B$19:$ZZ$28,MATCH('Graph Support'!$B20,Inventory!$B$19:$B$28,0),MATCH('Graph Support'!N$14,Inventory!$B$19:$ZZ$19,0))</f>
        <v>0</v>
      </c>
    </row>
    <row r="21" spans="2:20">
      <c r="B21" s="224" t="s">
        <v>95</v>
      </c>
      <c r="C21" s="225">
        <f>INDEX(Inventory!$B$19:$ZZ$28,MATCH('Graph Support'!$B21,Inventory!$B$19:$B$28,0),MATCH('Graph Support'!C$14,Inventory!$B$19:$ZZ$19,0))</f>
        <v>135</v>
      </c>
      <c r="D21" s="225">
        <f>INDEX(Inventory!$B$19:$ZZ$28,MATCH('Graph Support'!$B21,Inventory!$B$19:$B$28,0),MATCH('Graph Support'!D$14,Inventory!$B$19:$ZZ$19,0))</f>
        <v>135</v>
      </c>
      <c r="E21" s="225">
        <f>INDEX(Inventory!$B$19:$ZZ$28,MATCH('Graph Support'!$B21,Inventory!$B$19:$B$28,0),MATCH('Graph Support'!E$14,Inventory!$B$19:$ZZ$19,0))</f>
        <v>135</v>
      </c>
      <c r="F21" s="225">
        <f>INDEX(Inventory!$B$19:$ZZ$28,MATCH('Graph Support'!$B21,Inventory!$B$19:$B$28,0),MATCH('Graph Support'!F$14,Inventory!$B$19:$ZZ$19,0))</f>
        <v>135</v>
      </c>
      <c r="G21" s="225">
        <f>INDEX(Inventory!$B$19:$ZZ$28,MATCH('Graph Support'!$B21,Inventory!$B$19:$B$28,0),MATCH('Graph Support'!G$14,Inventory!$B$19:$ZZ$19,0))</f>
        <v>135</v>
      </c>
      <c r="H21" s="225">
        <f>INDEX(Inventory!$B$19:$ZZ$28,MATCH('Graph Support'!$B21,Inventory!$B$19:$B$28,0),MATCH('Graph Support'!H$14,Inventory!$B$19:$ZZ$19,0))</f>
        <v>135</v>
      </c>
      <c r="I21" s="225">
        <f>INDEX(Inventory!$B$19:$ZZ$28,MATCH('Graph Support'!$B21,Inventory!$B$19:$B$28,0),MATCH('Graph Support'!I$14,Inventory!$B$19:$ZZ$19,0))</f>
        <v>464.66666666666669</v>
      </c>
      <c r="J21" s="225">
        <f>INDEX(Inventory!$B$19:$ZZ$28,MATCH('Graph Support'!$B21,Inventory!$B$19:$B$28,0),MATCH('Graph Support'!J$14,Inventory!$B$19:$ZZ$19,0))</f>
        <v>464.66666666666669</v>
      </c>
      <c r="K21" s="225">
        <f>INDEX(Inventory!$B$19:$ZZ$28,MATCH('Graph Support'!$B21,Inventory!$B$19:$B$28,0),MATCH('Graph Support'!K$14,Inventory!$B$19:$ZZ$19,0))</f>
        <v>464.66666666666669</v>
      </c>
      <c r="L21" s="225">
        <f>INDEX(Inventory!$B$19:$ZZ$28,MATCH('Graph Support'!$B21,Inventory!$B$19:$B$28,0),MATCH('Graph Support'!L$14,Inventory!$B$19:$ZZ$19,0))</f>
        <v>464.66666666666669</v>
      </c>
      <c r="M21" s="225">
        <f>INDEX(Inventory!$B$19:$ZZ$28,MATCH('Graph Support'!$B21,Inventory!$B$19:$B$28,0),MATCH('Graph Support'!M$14,Inventory!$B$19:$ZZ$19,0))</f>
        <v>464.66666666666669</v>
      </c>
      <c r="N21" s="226">
        <f>INDEX(Inventory!$B$19:$ZZ$28,MATCH('Graph Support'!$B21,Inventory!$B$19:$B$28,0),MATCH('Graph Support'!N$14,Inventory!$B$19:$ZZ$19,0))</f>
        <v>464.66666666666669</v>
      </c>
    </row>
    <row r="22" spans="2:20">
      <c r="B22" s="215" t="s">
        <v>200</v>
      </c>
      <c r="C22" s="207">
        <f t="shared" ref="C22:N22" si="4">C17+C19+C20+C21</f>
        <v>1647</v>
      </c>
      <c r="D22" s="207">
        <f t="shared" si="4"/>
        <v>1647</v>
      </c>
      <c r="E22" s="207">
        <f t="shared" si="4"/>
        <v>1647</v>
      </c>
      <c r="F22" s="207">
        <f t="shared" si="4"/>
        <v>2936</v>
      </c>
      <c r="G22" s="207">
        <f t="shared" si="4"/>
        <v>2936</v>
      </c>
      <c r="H22" s="207">
        <f t="shared" si="4"/>
        <v>2936</v>
      </c>
      <c r="I22" s="207">
        <f t="shared" si="4"/>
        <v>464.66666666666669</v>
      </c>
      <c r="J22" s="207">
        <f t="shared" si="4"/>
        <v>464.66666666666669</v>
      </c>
      <c r="K22" s="207">
        <f t="shared" si="4"/>
        <v>464.66666666666669</v>
      </c>
      <c r="L22" s="207">
        <f t="shared" si="4"/>
        <v>1819.6666666666667</v>
      </c>
      <c r="M22" s="207">
        <f t="shared" si="4"/>
        <v>1819.6666666666667</v>
      </c>
      <c r="N22" s="217">
        <f t="shared" si="4"/>
        <v>1819.6666666666667</v>
      </c>
    </row>
    <row r="23" spans="2:20">
      <c r="B23" s="215" t="s">
        <v>201</v>
      </c>
      <c r="C23" s="207">
        <f t="shared" ref="C23:N23" si="5">C17+C18+C19+C20+C21</f>
        <v>2455</v>
      </c>
      <c r="D23" s="207">
        <f t="shared" si="5"/>
        <v>2455</v>
      </c>
      <c r="E23" s="207">
        <f t="shared" si="5"/>
        <v>2455</v>
      </c>
      <c r="F23" s="207">
        <f t="shared" si="5"/>
        <v>3831</v>
      </c>
      <c r="G23" s="207">
        <f t="shared" si="5"/>
        <v>3831</v>
      </c>
      <c r="H23" s="207">
        <f t="shared" si="5"/>
        <v>3831</v>
      </c>
      <c r="I23" s="207">
        <f t="shared" si="5"/>
        <v>929.33333333333337</v>
      </c>
      <c r="J23" s="207">
        <f t="shared" si="5"/>
        <v>929.66666666666674</v>
      </c>
      <c r="K23" s="207">
        <f t="shared" si="5"/>
        <v>929.66666666666674</v>
      </c>
      <c r="L23" s="207">
        <f t="shared" si="5"/>
        <v>3518.6666666666665</v>
      </c>
      <c r="M23" s="207">
        <f t="shared" si="5"/>
        <v>3518.6666666666665</v>
      </c>
      <c r="N23" s="217">
        <f t="shared" si="5"/>
        <v>3518.6666666666665</v>
      </c>
    </row>
    <row r="24" spans="2:20">
      <c r="B24" s="227" t="s">
        <v>100</v>
      </c>
      <c r="C24" s="228">
        <f t="shared" ref="C24:N24" si="6">C17/C$23</f>
        <v>0</v>
      </c>
      <c r="D24" s="228">
        <f t="shared" si="6"/>
        <v>0</v>
      </c>
      <c r="E24" s="228">
        <f t="shared" si="6"/>
        <v>0</v>
      </c>
      <c r="F24" s="228">
        <f t="shared" si="6"/>
        <v>0</v>
      </c>
      <c r="G24" s="228">
        <f t="shared" si="6"/>
        <v>0</v>
      </c>
      <c r="H24" s="228">
        <f t="shared" si="6"/>
        <v>0</v>
      </c>
      <c r="I24" s="228">
        <f t="shared" si="6"/>
        <v>0</v>
      </c>
      <c r="J24" s="228">
        <f t="shared" si="6"/>
        <v>0</v>
      </c>
      <c r="K24" s="228">
        <f t="shared" si="6"/>
        <v>0</v>
      </c>
      <c r="L24" s="228">
        <f t="shared" si="6"/>
        <v>0</v>
      </c>
      <c r="M24" s="228">
        <f t="shared" si="6"/>
        <v>0</v>
      </c>
      <c r="N24" s="229">
        <f t="shared" si="6"/>
        <v>0</v>
      </c>
    </row>
    <row r="25" spans="2:20">
      <c r="B25" s="230" t="s">
        <v>196</v>
      </c>
      <c r="C25" s="231">
        <f t="shared" ref="C25:N25" si="7">C18/C$23</f>
        <v>0.32912423625254583</v>
      </c>
      <c r="D25" s="231">
        <f t="shared" si="7"/>
        <v>0.32912423625254583</v>
      </c>
      <c r="E25" s="231">
        <f t="shared" si="7"/>
        <v>0.32912423625254583</v>
      </c>
      <c r="F25" s="231">
        <f t="shared" si="7"/>
        <v>0.23362046463064473</v>
      </c>
      <c r="G25" s="231">
        <f t="shared" si="7"/>
        <v>0.23362046463064473</v>
      </c>
      <c r="H25" s="231">
        <f t="shared" si="7"/>
        <v>0.23362046463064473</v>
      </c>
      <c r="I25" s="231">
        <f t="shared" si="7"/>
        <v>0.5</v>
      </c>
      <c r="J25" s="231">
        <f t="shared" si="7"/>
        <v>0.50017927572606669</v>
      </c>
      <c r="K25" s="231">
        <f t="shared" si="7"/>
        <v>0.50017927572606669</v>
      </c>
      <c r="L25" s="231">
        <f t="shared" si="7"/>
        <v>0.48285335354300873</v>
      </c>
      <c r="M25" s="231">
        <f t="shared" si="7"/>
        <v>0.48285335354300873</v>
      </c>
      <c r="N25" s="232">
        <f t="shared" si="7"/>
        <v>0.48285335354300873</v>
      </c>
    </row>
    <row r="26" spans="2:20">
      <c r="B26" s="230" t="s">
        <v>197</v>
      </c>
      <c r="C26" s="231">
        <f t="shared" ref="C26:N26" si="8">C19/C$23</f>
        <v>0.61588594704684319</v>
      </c>
      <c r="D26" s="231">
        <f t="shared" si="8"/>
        <v>0.61588594704684319</v>
      </c>
      <c r="E26" s="231">
        <f t="shared" si="8"/>
        <v>0.61588594704684319</v>
      </c>
      <c r="F26" s="231">
        <f t="shared" si="8"/>
        <v>0.73114069433568263</v>
      </c>
      <c r="G26" s="231">
        <f t="shared" si="8"/>
        <v>0.73114069433568263</v>
      </c>
      <c r="H26" s="231">
        <f t="shared" si="8"/>
        <v>0.73114069433568263</v>
      </c>
      <c r="I26" s="231">
        <f t="shared" si="8"/>
        <v>0</v>
      </c>
      <c r="J26" s="231">
        <f t="shared" si="8"/>
        <v>0</v>
      </c>
      <c r="K26" s="231">
        <f t="shared" si="8"/>
        <v>0</v>
      </c>
      <c r="L26" s="231">
        <f t="shared" si="8"/>
        <v>0.38508904888215234</v>
      </c>
      <c r="M26" s="231">
        <f t="shared" si="8"/>
        <v>0.38508904888215234</v>
      </c>
      <c r="N26" s="232">
        <f t="shared" si="8"/>
        <v>0.38508904888215234</v>
      </c>
    </row>
    <row r="27" spans="2:20">
      <c r="B27" s="230" t="s">
        <v>198</v>
      </c>
      <c r="C27" s="231">
        <f t="shared" ref="C27:N27" si="9">C20/C$23</f>
        <v>0</v>
      </c>
      <c r="D27" s="231">
        <f t="shared" si="9"/>
        <v>0</v>
      </c>
      <c r="E27" s="231">
        <f t="shared" si="9"/>
        <v>0</v>
      </c>
      <c r="F27" s="231">
        <f t="shared" si="9"/>
        <v>0</v>
      </c>
      <c r="G27" s="231">
        <f t="shared" si="9"/>
        <v>0</v>
      </c>
      <c r="H27" s="231">
        <f t="shared" si="9"/>
        <v>0</v>
      </c>
      <c r="I27" s="231">
        <f t="shared" si="9"/>
        <v>0</v>
      </c>
      <c r="J27" s="231">
        <f t="shared" si="9"/>
        <v>0</v>
      </c>
      <c r="K27" s="231">
        <f t="shared" si="9"/>
        <v>0</v>
      </c>
      <c r="L27" s="231">
        <f t="shared" si="9"/>
        <v>0</v>
      </c>
      <c r="M27" s="231">
        <f t="shared" si="9"/>
        <v>0</v>
      </c>
      <c r="N27" s="232">
        <f t="shared" si="9"/>
        <v>0</v>
      </c>
    </row>
    <row r="28" spans="2:20">
      <c r="B28" s="233" t="s">
        <v>95</v>
      </c>
      <c r="C28" s="234">
        <f t="shared" ref="C28:N28" si="10">C21/C$23</f>
        <v>5.4989816700610997E-2</v>
      </c>
      <c r="D28" s="234">
        <f t="shared" si="10"/>
        <v>5.4989816700610997E-2</v>
      </c>
      <c r="E28" s="234">
        <f t="shared" si="10"/>
        <v>5.4989816700610997E-2</v>
      </c>
      <c r="F28" s="234">
        <f t="shared" si="10"/>
        <v>3.5238841033672669E-2</v>
      </c>
      <c r="G28" s="234">
        <f t="shared" si="10"/>
        <v>3.5238841033672669E-2</v>
      </c>
      <c r="H28" s="234">
        <f t="shared" si="10"/>
        <v>3.5238841033672669E-2</v>
      </c>
      <c r="I28" s="234">
        <f t="shared" si="10"/>
        <v>0.5</v>
      </c>
      <c r="J28" s="234">
        <f t="shared" si="10"/>
        <v>0.49982072427393331</v>
      </c>
      <c r="K28" s="234">
        <f t="shared" si="10"/>
        <v>0.49982072427393331</v>
      </c>
      <c r="L28" s="234">
        <f t="shared" si="10"/>
        <v>0.13205759757483895</v>
      </c>
      <c r="M28" s="234">
        <f t="shared" si="10"/>
        <v>0.13205759757483895</v>
      </c>
      <c r="N28" s="235">
        <f t="shared" si="10"/>
        <v>0.13205759757483895</v>
      </c>
    </row>
    <row r="29" spans="2:20">
      <c r="B29" s="4"/>
      <c r="C29" s="4"/>
      <c r="D29" s="4"/>
      <c r="E29" s="4"/>
      <c r="F29" s="4"/>
      <c r="G29" s="4"/>
      <c r="H29" s="4"/>
      <c r="I29" s="4"/>
      <c r="J29" s="4"/>
      <c r="K29" s="4"/>
      <c r="L29" s="4"/>
      <c r="M29" s="4"/>
      <c r="N29" s="4"/>
    </row>
    <row r="30" spans="2:20">
      <c r="B30" s="323" t="s">
        <v>362</v>
      </c>
      <c r="C30" s="50"/>
      <c r="D30" s="50"/>
      <c r="E30" s="50"/>
      <c r="F30" s="50"/>
      <c r="G30" s="50"/>
      <c r="H30" s="50"/>
      <c r="I30" s="50"/>
      <c r="J30" s="50"/>
      <c r="K30" s="50"/>
      <c r="L30" s="50"/>
      <c r="M30" s="50"/>
      <c r="N30" s="50"/>
    </row>
    <row r="31" spans="2:20">
      <c r="B31" s="82"/>
      <c r="C31" s="83">
        <f t="shared" ref="C31:M31" si="11">EOMONTH(D31,-1)</f>
        <v>45777</v>
      </c>
      <c r="D31" s="83">
        <f t="shared" si="11"/>
        <v>45808</v>
      </c>
      <c r="E31" s="83">
        <f t="shared" si="11"/>
        <v>45838</v>
      </c>
      <c r="F31" s="83">
        <f t="shared" si="11"/>
        <v>45869</v>
      </c>
      <c r="G31" s="83">
        <f t="shared" si="11"/>
        <v>45900</v>
      </c>
      <c r="H31" s="83">
        <f t="shared" si="11"/>
        <v>45930</v>
      </c>
      <c r="I31" s="83">
        <f t="shared" si="11"/>
        <v>45961</v>
      </c>
      <c r="J31" s="83">
        <f t="shared" si="11"/>
        <v>45991</v>
      </c>
      <c r="K31" s="83">
        <f t="shared" si="11"/>
        <v>46022</v>
      </c>
      <c r="L31" s="83">
        <f t="shared" si="11"/>
        <v>46053</v>
      </c>
      <c r="M31" s="83">
        <f t="shared" si="11"/>
        <v>46081</v>
      </c>
      <c r="N31" s="83">
        <f>Summary!$P$2</f>
        <v>46112</v>
      </c>
      <c r="P31" s="83">
        <f>EOMONTH(Q31,-3)</f>
        <v>45747</v>
      </c>
      <c r="Q31" s="83">
        <f>EOMONTH(R31,-3)</f>
        <v>45838</v>
      </c>
      <c r="R31" s="83">
        <f>EOMONTH(S31,-3)</f>
        <v>45930</v>
      </c>
      <c r="S31" s="83">
        <f>EOMONTH(T31,-3)</f>
        <v>46022</v>
      </c>
      <c r="T31" s="83">
        <f>Summary!$P$2</f>
        <v>46112</v>
      </c>
    </row>
    <row r="32" spans="2:20">
      <c r="B32" s="185" t="s">
        <v>208</v>
      </c>
      <c r="C32" s="236">
        <f>INDEX(Inventory!$B$36:$ZZ$38,MATCH('Graph Support'!$B32,Inventory!$B$36:$B$38,0),MATCH('Graph Support'!C$31,Inventory!$B$36:$ZZ$36,0))</f>
        <v>64756</v>
      </c>
      <c r="D32" s="236">
        <f>INDEX(Inventory!$B$36:$ZZ$38,MATCH('Graph Support'!$B32,Inventory!$B$36:$B$38,0),MATCH('Graph Support'!D$31,Inventory!$B$36:$ZZ$36,0))</f>
        <v>64756</v>
      </c>
      <c r="E32" s="236">
        <f>INDEX(Inventory!$B$36:$ZZ$38,MATCH('Graph Support'!$B32,Inventory!$B$36:$B$38,0),MATCH('Graph Support'!E$31,Inventory!$B$36:$ZZ$36,0))</f>
        <v>64756</v>
      </c>
      <c r="F32" s="236">
        <f>INDEX(Inventory!$B$36:$ZZ$38,MATCH('Graph Support'!$B32,Inventory!$B$36:$B$38,0),MATCH('Graph Support'!F$31,Inventory!$B$36:$ZZ$36,0))</f>
        <v>64756</v>
      </c>
      <c r="G32" s="236">
        <f>INDEX(Inventory!$B$36:$ZZ$38,MATCH('Graph Support'!$B32,Inventory!$B$36:$B$38,0),MATCH('Graph Support'!G$31,Inventory!$B$36:$ZZ$36,0))</f>
        <v>64756</v>
      </c>
      <c r="H32" s="236">
        <f>INDEX(Inventory!$B$36:$ZZ$38,MATCH('Graph Support'!$B32,Inventory!$B$36:$B$38,0),MATCH('Graph Support'!H$31,Inventory!$B$36:$ZZ$36,0))</f>
        <v>64756</v>
      </c>
      <c r="I32" s="236">
        <f>INDEX(Inventory!$B$36:$ZZ$38,MATCH('Graph Support'!$B32,Inventory!$B$36:$B$38,0),MATCH('Graph Support'!I$31,Inventory!$B$36:$ZZ$36,0))</f>
        <v>60842</v>
      </c>
      <c r="J32" s="236">
        <f>INDEX(Inventory!$B$36:$ZZ$38,MATCH('Graph Support'!$B32,Inventory!$B$36:$B$38,0),MATCH('Graph Support'!J$31,Inventory!$B$36:$ZZ$36,0))</f>
        <v>60842</v>
      </c>
      <c r="K32" s="236">
        <f>INDEX(Inventory!$B$36:$ZZ$38,MATCH('Graph Support'!$B32,Inventory!$B$36:$B$38,0),MATCH('Graph Support'!K$31,Inventory!$B$36:$ZZ$36,0))</f>
        <v>60842</v>
      </c>
      <c r="L32" s="236">
        <f>INDEX(Inventory!$B$36:$ZZ$38,MATCH('Graph Support'!$B32,Inventory!$B$36:$B$38,0),MATCH('Graph Support'!L$31,Inventory!$B$36:$ZZ$36,0))</f>
        <v>59028</v>
      </c>
      <c r="M32" s="236">
        <f>INDEX(Inventory!$B$36:$ZZ$38,MATCH('Graph Support'!$B32,Inventory!$B$36:$B$38,0),MATCH('Graph Support'!M$31,Inventory!$B$36:$ZZ$36,0))</f>
        <v>59028</v>
      </c>
      <c r="N32" s="321">
        <f>INDEX(Inventory!$B$36:$ZZ$38,MATCH('Graph Support'!$B32,Inventory!$B$36:$B$38,0),MATCH('Graph Support'!N$31,Inventory!$B$36:$ZZ$36,0))</f>
        <v>59028</v>
      </c>
      <c r="P32" s="543">
        <f>INDEX(Inventory!$B$36:$ZZ$38,MATCH('Graph Support'!$B32,Inventory!$B$36:$B$38,0),MATCH('Graph Support'!P$31,Inventory!$B$36:$ZZ$36,0))</f>
        <v>67792</v>
      </c>
      <c r="Q32" s="321">
        <f>INDEX(Inventory!$B$36:$ZZ$38,MATCH('Graph Support'!$B32,Inventory!$B$36:$B$38,0),MATCH('Graph Support'!Q$31,Inventory!$B$36:$ZZ$36,0))</f>
        <v>64756</v>
      </c>
      <c r="R32" s="321">
        <f>INDEX(Inventory!$B$36:$ZZ$38,MATCH('Graph Support'!$B32,Inventory!$B$36:$B$38,0),MATCH('Graph Support'!R$31,Inventory!$B$36:$ZZ$36,0))</f>
        <v>64756</v>
      </c>
      <c r="S32" s="321">
        <f>INDEX(Inventory!$B$36:$ZZ$38,MATCH('Graph Support'!$B32,Inventory!$B$36:$B$38,0),MATCH('Graph Support'!S$31,Inventory!$B$36:$ZZ$36,0))</f>
        <v>60842</v>
      </c>
      <c r="T32" s="321">
        <f>INDEX(Inventory!$B$36:$ZZ$38,MATCH('Graph Support'!$B32,Inventory!$B$36:$B$38,0),MATCH('Graph Support'!T$31,Inventory!$B$36:$ZZ$36,0))</f>
        <v>59028</v>
      </c>
    </row>
    <row r="33" spans="1:20">
      <c r="B33" s="237" t="s">
        <v>363</v>
      </c>
      <c r="C33" s="238">
        <f>AVERAGEIFS(Inventory!$B$9:$ZZ$9,Inventory!$B$8:$ZZ$8,"&lt;="&amp;'Graph Support'!C$31,Inventory!$B$8:$ZZ$8,"&gt;="&amp;EOMONTH('Graph Support'!C$31,-11))</f>
        <v>494.47222222222217</v>
      </c>
      <c r="D33" s="238">
        <f>AVERAGEIFS(Inventory!$B$9:$ZZ$9,Inventory!$B$8:$ZZ$8,"&lt;="&amp;'Graph Support'!D$31,Inventory!$B$8:$ZZ$8,"&gt;="&amp;EOMONTH('Graph Support'!D$31,-11))</f>
        <v>485.25</v>
      </c>
      <c r="E33" s="238">
        <f>AVERAGEIFS(Inventory!$B$9:$ZZ$9,Inventory!$B$8:$ZZ$8,"&lt;="&amp;'Graph Support'!E$31,Inventory!$B$8:$ZZ$8,"&gt;="&amp;EOMONTH('Graph Support'!E$31,-11))</f>
        <v>476.02777777777783</v>
      </c>
      <c r="F33" s="238">
        <f>AVERAGEIFS(Inventory!$B$9:$ZZ$9,Inventory!$B$8:$ZZ$8,"&lt;="&amp;'Graph Support'!F$31,Inventory!$B$8:$ZZ$8,"&gt;="&amp;EOMONTH('Graph Support'!F$31,-11))</f>
        <v>456.77777777777783</v>
      </c>
      <c r="G33" s="238">
        <f>AVERAGEIFS(Inventory!$B$9:$ZZ$9,Inventory!$B$8:$ZZ$8,"&lt;="&amp;'Graph Support'!G$31,Inventory!$B$8:$ZZ$8,"&gt;="&amp;EOMONTH('Graph Support'!G$31,-11))</f>
        <v>437.52777777777783</v>
      </c>
      <c r="H33" s="238">
        <f>AVERAGEIFS(Inventory!$B$9:$ZZ$9,Inventory!$B$8:$ZZ$8,"&lt;="&amp;'Graph Support'!H$31,Inventory!$B$8:$ZZ$8,"&gt;="&amp;EOMONTH('Graph Support'!H$31,-11))</f>
        <v>418.36111111111114</v>
      </c>
      <c r="I33" s="238">
        <f>AVERAGEIFS(Inventory!$B$9:$ZZ$9,Inventory!$B$8:$ZZ$8,"&lt;="&amp;'Graph Support'!I$31,Inventory!$B$8:$ZZ$8,"&gt;="&amp;EOMONTH('Graph Support'!I$31,-11))</f>
        <v>402.5</v>
      </c>
      <c r="J33" s="238">
        <f>AVERAGEIFS(Inventory!$B$9:$ZZ$9,Inventory!$B$8:$ZZ$8,"&lt;="&amp;'Graph Support'!J$31,Inventory!$B$8:$ZZ$8,"&gt;="&amp;EOMONTH('Graph Support'!J$31,-11))</f>
        <v>386.66666666666669</v>
      </c>
      <c r="K33" s="238">
        <f>AVERAGEIFS(Inventory!$B$9:$ZZ$9,Inventory!$B$8:$ZZ$8,"&lt;="&amp;'Graph Support'!K$31,Inventory!$B$8:$ZZ$8,"&gt;="&amp;EOMONTH('Graph Support'!K$31,-11))</f>
        <v>370.75</v>
      </c>
      <c r="L33" s="238">
        <f>AVERAGEIFS(Inventory!$B$9:$ZZ$9,Inventory!$B$8:$ZZ$8,"&lt;="&amp;'Graph Support'!L$31,Inventory!$B$8:$ZZ$8,"&gt;="&amp;EOMONTH('Graph Support'!L$31,-11))</f>
        <v>367.5555555555556</v>
      </c>
      <c r="M33" s="238">
        <f>AVERAGEIFS(Inventory!$B$9:$ZZ$9,Inventory!$B$8:$ZZ$8,"&lt;="&amp;'Graph Support'!M$31,Inventory!$B$8:$ZZ$8,"&gt;="&amp;EOMONTH('Graph Support'!M$31,-11))</f>
        <v>364.36111111111109</v>
      </c>
      <c r="N33" s="239">
        <f>AVERAGEIFS(Inventory!$B$9:$ZZ$9,Inventory!$B$8:$ZZ$8,"&lt;="&amp;'Graph Support'!N$31,Inventory!$B$8:$ZZ$8,"&gt;="&amp;EOMONTH('Graph Support'!N$31,-11))</f>
        <v>361.16666666666669</v>
      </c>
      <c r="P33" s="544">
        <f>AVERAGEIFS(Inventory!$B$9:$ZZ$9,Inventory!$B$8:$ZZ$8,"&lt;="&amp;'Graph Support'!P$31,Inventory!$B$8:$ZZ$8,"&gt;="&amp;EOMONTH('Graph Support'!P$31,-11))</f>
        <v>503.69444444444451</v>
      </c>
      <c r="Q33" s="239">
        <f>AVERAGEIFS(Inventory!$B$9:$ZZ$9,Inventory!$B$8:$ZZ$8,"&lt;="&amp;'Graph Support'!Q$31,Inventory!$B$8:$ZZ$8,"&gt;="&amp;EOMONTH('Graph Support'!Q$31,-11))</f>
        <v>476.02777777777783</v>
      </c>
      <c r="R33" s="239">
        <f>AVERAGEIFS(Inventory!$B$9:$ZZ$9,Inventory!$B$8:$ZZ$8,"&lt;="&amp;'Graph Support'!R$31,Inventory!$B$8:$ZZ$8,"&gt;="&amp;EOMONTH('Graph Support'!R$31,-11))</f>
        <v>418.36111111111114</v>
      </c>
      <c r="S33" s="239">
        <f>AVERAGEIFS(Inventory!$B$9:$ZZ$9,Inventory!$B$8:$ZZ$8,"&lt;="&amp;'Graph Support'!S$31,Inventory!$B$8:$ZZ$8,"&gt;="&amp;EOMONTH('Graph Support'!S$31,-11))</f>
        <v>370.75</v>
      </c>
      <c r="T33" s="239">
        <f>AVERAGEIFS(Inventory!$B$9:$ZZ$9,Inventory!$B$8:$ZZ$8,"&lt;="&amp;'Graph Support'!T$31,Inventory!$B$8:$ZZ$8,"&gt;="&amp;EOMONTH('Graph Support'!T$31,-11))</f>
        <v>361.16666666666669</v>
      </c>
    </row>
    <row r="34" spans="1:20">
      <c r="B34" s="240" t="s">
        <v>364</v>
      </c>
      <c r="C34" s="241">
        <f t="shared" ref="C34:N34" si="12">C32/C33</f>
        <v>130.95983371720692</v>
      </c>
      <c r="D34" s="241">
        <f t="shared" si="12"/>
        <v>133.44873776403915</v>
      </c>
      <c r="E34" s="241">
        <f t="shared" si="12"/>
        <v>136.03407831008926</v>
      </c>
      <c r="F34" s="241">
        <f t="shared" si="12"/>
        <v>141.76696667477498</v>
      </c>
      <c r="G34" s="241">
        <f t="shared" si="12"/>
        <v>148.00431718621039</v>
      </c>
      <c r="H34" s="241">
        <f t="shared" si="12"/>
        <v>154.78494123896155</v>
      </c>
      <c r="I34" s="241">
        <f t="shared" si="12"/>
        <v>151.16024844720496</v>
      </c>
      <c r="J34" s="241">
        <f t="shared" si="12"/>
        <v>157.35</v>
      </c>
      <c r="K34" s="241">
        <f t="shared" si="12"/>
        <v>164.10519217801755</v>
      </c>
      <c r="L34" s="241">
        <f t="shared" si="12"/>
        <v>160.59613059250302</v>
      </c>
      <c r="M34" s="241">
        <f t="shared" si="12"/>
        <v>162.00411679499888</v>
      </c>
      <c r="N34" s="242">
        <f t="shared" si="12"/>
        <v>163.43700969081678</v>
      </c>
      <c r="P34" s="545">
        <f t="shared" ref="P34:T34" si="13">P32/P33</f>
        <v>134.58953289582527</v>
      </c>
      <c r="Q34" s="242">
        <f t="shared" si="13"/>
        <v>136.03407831008926</v>
      </c>
      <c r="R34" s="242">
        <f t="shared" si="13"/>
        <v>154.78494123896155</v>
      </c>
      <c r="S34" s="242">
        <f t="shared" si="13"/>
        <v>164.10519217801755</v>
      </c>
      <c r="T34" s="242">
        <f t="shared" si="13"/>
        <v>163.43700969081678</v>
      </c>
    </row>
    <row r="35" spans="1:20">
      <c r="B35" s="4"/>
      <c r="C35" s="4"/>
      <c r="D35" s="4"/>
      <c r="E35" s="4"/>
      <c r="F35" s="4"/>
      <c r="G35" s="4"/>
      <c r="H35" s="4"/>
      <c r="I35" s="4"/>
      <c r="J35" s="4"/>
      <c r="K35" s="4"/>
      <c r="L35" s="4"/>
      <c r="M35" s="4"/>
      <c r="N35" s="4"/>
    </row>
    <row r="36" spans="1:20">
      <c r="B36" s="323" t="s">
        <v>365</v>
      </c>
      <c r="C36" s="50"/>
      <c r="D36" s="50"/>
      <c r="E36" s="50"/>
      <c r="F36" s="50"/>
      <c r="G36" s="50"/>
      <c r="H36" s="50"/>
      <c r="I36" s="50"/>
      <c r="J36" s="50"/>
      <c r="K36" s="50"/>
      <c r="L36" s="50"/>
      <c r="M36" s="50"/>
      <c r="N36" s="50"/>
    </row>
    <row r="37" spans="1:20">
      <c r="B37" s="185" t="s">
        <v>366</v>
      </c>
      <c r="C37" s="236">
        <f t="shared" ref="C37:N37" si="14">C22</f>
        <v>1647</v>
      </c>
      <c r="D37" s="236">
        <f t="shared" si="14"/>
        <v>1647</v>
      </c>
      <c r="E37" s="236">
        <f t="shared" si="14"/>
        <v>1647</v>
      </c>
      <c r="F37" s="236">
        <f t="shared" si="14"/>
        <v>2936</v>
      </c>
      <c r="G37" s="236">
        <f t="shared" si="14"/>
        <v>2936</v>
      </c>
      <c r="H37" s="236">
        <f t="shared" si="14"/>
        <v>2936</v>
      </c>
      <c r="I37" s="236">
        <f t="shared" si="14"/>
        <v>464.66666666666669</v>
      </c>
      <c r="J37" s="236">
        <f t="shared" si="14"/>
        <v>464.66666666666669</v>
      </c>
      <c r="K37" s="236">
        <f t="shared" si="14"/>
        <v>464.66666666666669</v>
      </c>
      <c r="L37" s="236">
        <f t="shared" si="14"/>
        <v>1819.6666666666667</v>
      </c>
      <c r="M37" s="236">
        <f t="shared" si="14"/>
        <v>1819.6666666666667</v>
      </c>
      <c r="N37" s="321">
        <f t="shared" si="14"/>
        <v>1819.6666666666667</v>
      </c>
    </row>
    <row r="38" spans="1:20">
      <c r="B38" s="237" t="s">
        <v>363</v>
      </c>
      <c r="C38" s="238">
        <f>AVERAGEIFS(Inventory!$B$9:$ZZ$9,Inventory!$B$8:$ZZ$8,"&lt;="&amp;'Graph Support'!C$31,Inventory!$B$8:$ZZ$8,"&gt;="&amp;EOMONTH('Graph Support'!C$31,-11))</f>
        <v>494.47222222222217</v>
      </c>
      <c r="D38" s="238">
        <f>AVERAGEIFS(Inventory!$B$9:$ZZ$9,Inventory!$B$8:$ZZ$8,"&lt;="&amp;'Graph Support'!D$31,Inventory!$B$8:$ZZ$8,"&gt;="&amp;EOMONTH('Graph Support'!D$31,-11))</f>
        <v>485.25</v>
      </c>
      <c r="E38" s="238">
        <f>AVERAGEIFS(Inventory!$B$9:$ZZ$9,Inventory!$B$8:$ZZ$8,"&lt;="&amp;'Graph Support'!E$31,Inventory!$B$8:$ZZ$8,"&gt;="&amp;EOMONTH('Graph Support'!E$31,-11))</f>
        <v>476.02777777777783</v>
      </c>
      <c r="F38" s="238">
        <f>AVERAGEIFS(Inventory!$B$9:$ZZ$9,Inventory!$B$8:$ZZ$8,"&lt;="&amp;'Graph Support'!F$31,Inventory!$B$8:$ZZ$8,"&gt;="&amp;EOMONTH('Graph Support'!F$31,-11))</f>
        <v>456.77777777777783</v>
      </c>
      <c r="G38" s="238">
        <f>AVERAGEIFS(Inventory!$B$9:$ZZ$9,Inventory!$B$8:$ZZ$8,"&lt;="&amp;'Graph Support'!G$31,Inventory!$B$8:$ZZ$8,"&gt;="&amp;EOMONTH('Graph Support'!G$31,-11))</f>
        <v>437.52777777777783</v>
      </c>
      <c r="H38" s="238">
        <f>AVERAGEIFS(Inventory!$B$9:$ZZ$9,Inventory!$B$8:$ZZ$8,"&lt;="&amp;'Graph Support'!H$31,Inventory!$B$8:$ZZ$8,"&gt;="&amp;EOMONTH('Graph Support'!H$31,-11))</f>
        <v>418.36111111111114</v>
      </c>
      <c r="I38" s="238">
        <f>AVERAGEIFS(Inventory!$B$9:$ZZ$9,Inventory!$B$8:$ZZ$8,"&lt;="&amp;'Graph Support'!I$31,Inventory!$B$8:$ZZ$8,"&gt;="&amp;EOMONTH('Graph Support'!I$31,-11))</f>
        <v>402.5</v>
      </c>
      <c r="J38" s="238">
        <f>AVERAGEIFS(Inventory!$B$9:$ZZ$9,Inventory!$B$8:$ZZ$8,"&lt;="&amp;'Graph Support'!J$31,Inventory!$B$8:$ZZ$8,"&gt;="&amp;EOMONTH('Graph Support'!J$31,-11))</f>
        <v>386.66666666666669</v>
      </c>
      <c r="K38" s="238">
        <f>AVERAGEIFS(Inventory!$B$9:$ZZ$9,Inventory!$B$8:$ZZ$8,"&lt;="&amp;'Graph Support'!K$31,Inventory!$B$8:$ZZ$8,"&gt;="&amp;EOMONTH('Graph Support'!K$31,-11))</f>
        <v>370.75</v>
      </c>
      <c r="L38" s="238">
        <f>AVERAGEIFS(Inventory!$B$9:$ZZ$9,Inventory!$B$8:$ZZ$8,"&lt;="&amp;'Graph Support'!L$31,Inventory!$B$8:$ZZ$8,"&gt;="&amp;EOMONTH('Graph Support'!L$31,-11))</f>
        <v>367.5555555555556</v>
      </c>
      <c r="M38" s="238">
        <f>AVERAGEIFS(Inventory!$B$9:$ZZ$9,Inventory!$B$8:$ZZ$8,"&lt;="&amp;'Graph Support'!M$31,Inventory!$B$8:$ZZ$8,"&gt;="&amp;EOMONTH('Graph Support'!M$31,-11))</f>
        <v>364.36111111111109</v>
      </c>
      <c r="N38" s="239">
        <f>AVERAGEIFS(Inventory!$B$9:$ZZ$9,Inventory!$B$8:$ZZ$8,"&lt;="&amp;'Graph Support'!N$31,Inventory!$B$8:$ZZ$8,"&gt;="&amp;EOMONTH('Graph Support'!N$31,-11))</f>
        <v>361.16666666666669</v>
      </c>
    </row>
    <row r="39" spans="1:20">
      <c r="B39" s="240" t="s">
        <v>367</v>
      </c>
      <c r="C39" s="241">
        <f t="shared" ref="C39:N39" si="15">C37/C38</f>
        <v>3.3308241110050001</v>
      </c>
      <c r="D39" s="241">
        <f t="shared" si="15"/>
        <v>3.3941267387944358</v>
      </c>
      <c r="E39" s="241">
        <f t="shared" si="15"/>
        <v>3.4598821263931838</v>
      </c>
      <c r="F39" s="241">
        <f t="shared" si="15"/>
        <v>6.4276331792751149</v>
      </c>
      <c r="G39" s="241">
        <f t="shared" si="15"/>
        <v>6.7104310837407137</v>
      </c>
      <c r="H39" s="241">
        <f t="shared" si="15"/>
        <v>7.0178606998207282</v>
      </c>
      <c r="I39" s="241">
        <f t="shared" si="15"/>
        <v>1.1544513457556935</v>
      </c>
      <c r="J39" s="241">
        <f t="shared" si="15"/>
        <v>1.2017241379310344</v>
      </c>
      <c r="K39" s="241">
        <f t="shared" si="15"/>
        <v>1.2533153517644415</v>
      </c>
      <c r="L39" s="241">
        <f t="shared" si="15"/>
        <v>4.9507255139056827</v>
      </c>
      <c r="M39" s="241">
        <f t="shared" si="15"/>
        <v>4.9941297552794088</v>
      </c>
      <c r="N39" s="242">
        <f t="shared" si="15"/>
        <v>5.0383017997231194</v>
      </c>
    </row>
    <row r="40" spans="1:20">
      <c r="B40" s="455" t="s">
        <v>368</v>
      </c>
      <c r="C40" s="456">
        <f>SUM(C19:C20)/C38</f>
        <v>3.0578057412504918</v>
      </c>
      <c r="D40" s="456">
        <f t="shared" ref="D40:N40" si="16">SUM(D19:D20)/D38</f>
        <v>3.1159196290571871</v>
      </c>
      <c r="E40" s="456">
        <f t="shared" si="16"/>
        <v>3.1762852307871854</v>
      </c>
      <c r="F40" s="456">
        <f t="shared" si="16"/>
        <v>6.1320846509365108</v>
      </c>
      <c r="G40" s="456">
        <f t="shared" si="16"/>
        <v>6.4018792457621734</v>
      </c>
      <c r="H40" s="456">
        <f t="shared" si="16"/>
        <v>6.6951729632826504</v>
      </c>
      <c r="I40" s="456">
        <f t="shared" si="16"/>
        <v>0</v>
      </c>
      <c r="J40" s="456">
        <f t="shared" si="16"/>
        <v>0</v>
      </c>
      <c r="K40" s="456">
        <f t="shared" si="16"/>
        <v>0</v>
      </c>
      <c r="L40" s="456">
        <f t="shared" si="16"/>
        <v>3.68651753325272</v>
      </c>
      <c r="M40" s="456">
        <f t="shared" si="16"/>
        <v>3.7188381489669897</v>
      </c>
      <c r="N40" s="457">
        <f t="shared" si="16"/>
        <v>3.7517305029995383</v>
      </c>
    </row>
    <row r="41" spans="1:20">
      <c r="B41" s="458" t="s">
        <v>369</v>
      </c>
      <c r="C41" s="459">
        <f>C20/C38</f>
        <v>0</v>
      </c>
      <c r="D41" s="459">
        <f t="shared" ref="D41:N41" si="17">D20/D38</f>
        <v>0</v>
      </c>
      <c r="E41" s="459">
        <f t="shared" si="17"/>
        <v>0</v>
      </c>
      <c r="F41" s="459">
        <f t="shared" si="17"/>
        <v>0</v>
      </c>
      <c r="G41" s="459">
        <f t="shared" si="17"/>
        <v>0</v>
      </c>
      <c r="H41" s="459">
        <f t="shared" si="17"/>
        <v>0</v>
      </c>
      <c r="I41" s="459">
        <f t="shared" si="17"/>
        <v>0</v>
      </c>
      <c r="J41" s="459">
        <f t="shared" si="17"/>
        <v>0</v>
      </c>
      <c r="K41" s="459">
        <f t="shared" si="17"/>
        <v>0</v>
      </c>
      <c r="L41" s="459">
        <f t="shared" si="17"/>
        <v>0</v>
      </c>
      <c r="M41" s="459">
        <f t="shared" si="17"/>
        <v>0</v>
      </c>
      <c r="N41" s="457">
        <f t="shared" si="17"/>
        <v>0</v>
      </c>
    </row>
    <row r="42" spans="1:20">
      <c r="A42" s="4"/>
      <c r="C42" s="4"/>
      <c r="D42" s="4"/>
      <c r="E42" s="4"/>
      <c r="F42" s="4"/>
      <c r="G42" s="4"/>
      <c r="H42" s="4"/>
      <c r="I42" s="4"/>
      <c r="J42" s="4"/>
      <c r="K42" s="4"/>
      <c r="L42" s="4"/>
      <c r="M42" s="4"/>
      <c r="N42" s="4"/>
    </row>
    <row r="43" spans="1:20">
      <c r="A43" s="4"/>
      <c r="B43" s="31" t="s">
        <v>370</v>
      </c>
      <c r="C43" s="4"/>
      <c r="D43" s="4"/>
      <c r="E43" s="4"/>
      <c r="F43" s="4"/>
      <c r="G43" s="4"/>
      <c r="H43" s="4"/>
      <c r="I43" s="4"/>
      <c r="J43" s="4"/>
      <c r="K43" s="4"/>
      <c r="L43" s="4"/>
      <c r="M43" s="4"/>
      <c r="N43" s="4"/>
    </row>
    <row r="44" spans="1:20">
      <c r="A44" s="4"/>
      <c r="B44" s="323" t="s">
        <v>371</v>
      </c>
      <c r="C44" s="50"/>
      <c r="D44" s="50"/>
      <c r="E44" s="50"/>
      <c r="F44" s="50"/>
      <c r="G44" s="50"/>
      <c r="H44" s="50"/>
      <c r="I44" s="50"/>
      <c r="J44" s="50"/>
      <c r="K44" s="50"/>
      <c r="L44" s="50"/>
      <c r="M44" s="50"/>
      <c r="N44" s="50"/>
    </row>
    <row r="45" spans="1:20">
      <c r="A45" s="4"/>
      <c r="B45" s="51"/>
      <c r="C45" s="83">
        <f t="shared" ref="C45:M45" ca="1" si="18">EOMONTH(D45,-1)</f>
        <v>45900</v>
      </c>
      <c r="D45" s="83">
        <f t="shared" ca="1" si="18"/>
        <v>45930</v>
      </c>
      <c r="E45" s="83">
        <f t="shared" ca="1" si="18"/>
        <v>45961</v>
      </c>
      <c r="F45" s="83">
        <f t="shared" ca="1" si="18"/>
        <v>45991</v>
      </c>
      <c r="G45" s="83">
        <f t="shared" ca="1" si="18"/>
        <v>46022</v>
      </c>
      <c r="H45" s="83">
        <f t="shared" ca="1" si="18"/>
        <v>46053</v>
      </c>
      <c r="I45" s="83">
        <f t="shared" ca="1" si="18"/>
        <v>46081</v>
      </c>
      <c r="J45" s="83">
        <f t="shared" ca="1" si="18"/>
        <v>46112</v>
      </c>
      <c r="K45" s="83">
        <f t="shared" ca="1" si="18"/>
        <v>46142</v>
      </c>
      <c r="L45" s="83">
        <f t="shared" ca="1" si="18"/>
        <v>46173</v>
      </c>
      <c r="M45" s="83">
        <f t="shared" ca="1" si="18"/>
        <v>46203</v>
      </c>
      <c r="N45" s="83">
        <f ca="1">EOMONTH(TODAY(),-1)</f>
        <v>46234</v>
      </c>
    </row>
    <row r="46" spans="1:20">
      <c r="A46" s="4"/>
      <c r="B46" s="159" t="s">
        <v>149</v>
      </c>
      <c r="C46" s="511">
        <f ca="1">INDEX('Tracking &amp; Banking'!$E$8:$ZZ$12,MATCH($B46,'Tracking &amp; Banking'!$E$8:$E$12,0),MATCH('Graph Support'!C$45,'Tracking &amp; Banking'!$E$8:$ZZ$8,0))/1000</f>
        <v>75000</v>
      </c>
      <c r="D46" s="511">
        <f ca="1">INDEX('Tracking &amp; Banking'!$E$8:$ZZ$12,MATCH($B46,'Tracking &amp; Banking'!$E$8:$E$12,0),MATCH('Graph Support'!D$45,'Tracking &amp; Banking'!$E$8:$ZZ$8,0))/1000</f>
        <v>75000</v>
      </c>
      <c r="E46" s="511">
        <f ca="1">INDEX('Tracking &amp; Banking'!$E$8:$ZZ$12,MATCH($B46,'Tracking &amp; Banking'!$E$8:$E$12,0),MATCH('Graph Support'!E$45,'Tracking &amp; Banking'!$E$8:$ZZ$8,0))/1000</f>
        <v>75000</v>
      </c>
      <c r="F46" s="511">
        <f ca="1">INDEX('Tracking &amp; Banking'!$E$8:$ZZ$12,MATCH($B46,'Tracking &amp; Banking'!$E$8:$E$12,0),MATCH('Graph Support'!F$45,'Tracking &amp; Banking'!$E$8:$ZZ$8,0))/1000</f>
        <v>75000</v>
      </c>
      <c r="G46" s="511">
        <f ca="1">INDEX('Tracking &amp; Banking'!$E$8:$ZZ$12,MATCH($B46,'Tracking &amp; Banking'!$E$8:$E$12,0),MATCH('Graph Support'!G$45,'Tracking &amp; Banking'!$E$8:$ZZ$8,0))/1000</f>
        <v>75000</v>
      </c>
      <c r="H46" s="511">
        <f ca="1">INDEX('Tracking &amp; Banking'!$E$8:$ZZ$12,MATCH($B46,'Tracking &amp; Banking'!$E$8:$E$12,0),MATCH('Graph Support'!H$45,'Tracking &amp; Banking'!$E$8:$ZZ$8,0))/1000</f>
        <v>75000</v>
      </c>
      <c r="I46" s="511">
        <f ca="1">INDEX('Tracking &amp; Banking'!$E$8:$ZZ$12,MATCH($B46,'Tracking &amp; Banking'!$E$8:$E$12,0),MATCH('Graph Support'!I$45,'Tracking &amp; Banking'!$E$8:$ZZ$8,0))/1000</f>
        <v>75000</v>
      </c>
      <c r="J46" s="511">
        <f ca="1">INDEX('Tracking &amp; Banking'!$E$8:$ZZ$12,MATCH($B46,'Tracking &amp; Banking'!$E$8:$E$12,0),MATCH('Graph Support'!J$45,'Tracking &amp; Banking'!$E$8:$ZZ$8,0))/1000</f>
        <v>75000</v>
      </c>
      <c r="K46" s="511">
        <f ca="1">INDEX('Tracking &amp; Banking'!$E$8:$ZZ$12,MATCH($B46,'Tracking &amp; Banking'!$E$8:$E$12,0),MATCH('Graph Support'!K$45,'Tracking &amp; Banking'!$E$8:$ZZ$8,0))/1000</f>
        <v>75000</v>
      </c>
      <c r="L46" s="511">
        <f ca="1">INDEX('Tracking &amp; Banking'!$E$8:$ZZ$12,MATCH($B46,'Tracking &amp; Banking'!$E$8:$E$12,0),MATCH('Graph Support'!L$45,'Tracking &amp; Banking'!$E$8:$ZZ$8,0))/1000</f>
        <v>75000</v>
      </c>
      <c r="M46" s="511">
        <f ca="1">INDEX('Tracking &amp; Banking'!$E$8:$ZZ$12,MATCH($B46,'Tracking &amp; Banking'!$E$8:$E$12,0),MATCH('Graph Support'!M$45,'Tracking &amp; Banking'!$E$8:$ZZ$8,0))/1000</f>
        <v>0</v>
      </c>
      <c r="N46" s="512">
        <f ca="1">INDEX('Tracking &amp; Banking'!$E$8:$ZZ$12,MATCH($B46,'Tracking &amp; Banking'!$E$8:$E$12,0),MATCH('Graph Support'!N$45,'Tracking &amp; Banking'!$E$8:$ZZ$8,0))/1000</f>
        <v>0</v>
      </c>
    </row>
    <row r="47" spans="1:20">
      <c r="A47" s="4"/>
      <c r="B47" s="1" t="s">
        <v>372</v>
      </c>
      <c r="C47" s="53">
        <f ca="1">IF(OR(Summary!$F$19="",Summary!$F$19="na",Summary!$F$19="na"),C46-C50,C46-C48)</f>
        <v>30253.531999999999</v>
      </c>
      <c r="D47" s="53">
        <f ca="1">IF(OR(Summary!$F$19="",Summary!$F$19="na",Summary!$F$19="na"),D46-D50,D46-D48)</f>
        <v>30563.701000000001</v>
      </c>
      <c r="E47" s="53">
        <f ca="1">IF(OR(Summary!$F$19="",Summary!$F$19="na",Summary!$F$19="na"),E46-E50,E46-E48)</f>
        <v>32367.008999999998</v>
      </c>
      <c r="F47" s="53">
        <f ca="1">IF(OR(Summary!$F$19="",Summary!$F$19="na",Summary!$F$19="na"),F46-F50,F46-F48)</f>
        <v>34810.464479999995</v>
      </c>
      <c r="G47" s="53">
        <f ca="1">IF(OR(Summary!$F$19="",Summary!$F$19="na",Summary!$F$19="na"),G46-G50,G46-G48)</f>
        <v>40327.053999999996</v>
      </c>
      <c r="H47" s="53">
        <f ca="1">IF(OR(Summary!$F$19="",Summary!$F$19="na",Summary!$F$19="na"),H46-H50,H46-H48)</f>
        <v>36092.095999999998</v>
      </c>
      <c r="I47" s="53">
        <f ca="1">IF(OR(Summary!$F$19="",Summary!$F$19="na",Summary!$F$19="na"),I46-I50,I46-I48)</f>
        <v>35054.379000000001</v>
      </c>
      <c r="J47" s="53">
        <f ca="1">IF(OR(Summary!$F$19="",Summary!$F$19="na",Summary!$F$19="na"),J46-J50,J46-J48)</f>
        <v>34178.730000000003</v>
      </c>
      <c r="K47" s="53">
        <f ca="1">IF(OR(Summary!$F$19="",Summary!$F$19="na",Summary!$F$19="na"),K46-K50,K46-K48)</f>
        <v>35974.107880000003</v>
      </c>
      <c r="L47" s="53">
        <f ca="1">IF(OR(Summary!$F$19="",Summary!$F$19="na",Summary!$F$19="na"),L46-L50,L46-L48)</f>
        <v>41476.995999999999</v>
      </c>
      <c r="M47" s="53">
        <f ca="1">IF(OR(Summary!$F$19="",Summary!$F$19="na",Summary!$F$19="na"),M46-M50,M46-M48)</f>
        <v>0</v>
      </c>
      <c r="N47" s="54">
        <f ca="1">IF(OR(Summary!$F$19="",Summary!$F$19="na",Summary!$F$19="na"),N46-N50,N46-N48)</f>
        <v>0</v>
      </c>
    </row>
    <row r="48" spans="1:20">
      <c r="A48" s="4"/>
      <c r="B48" s="1" t="s">
        <v>150</v>
      </c>
      <c r="C48" s="53">
        <f ca="1">INDEX('Tracking &amp; Banking'!$E$8:$ZZ$12,MATCH($B48,'Tracking &amp; Banking'!$E$8:$E$12,0),MATCH('Graph Support'!C$45,'Tracking &amp; Banking'!$E$8:$ZZ$8,0))/1000</f>
        <v>0</v>
      </c>
      <c r="D48" s="53">
        <f ca="1">INDEX('Tracking &amp; Banking'!$E$8:$ZZ$12,MATCH($B48,'Tracking &amp; Banking'!$E$8:$E$12,0),MATCH('Graph Support'!D$45,'Tracking &amp; Banking'!$E$8:$ZZ$8,0))/1000</f>
        <v>0</v>
      </c>
      <c r="E48" s="53">
        <f ca="1">INDEX('Tracking &amp; Banking'!$E$8:$ZZ$12,MATCH($B48,'Tracking &amp; Banking'!$E$8:$E$12,0),MATCH('Graph Support'!E$45,'Tracking &amp; Banking'!$E$8:$ZZ$8,0))/1000</f>
        <v>0</v>
      </c>
      <c r="F48" s="53">
        <f ca="1">INDEX('Tracking &amp; Banking'!$E$8:$ZZ$12,MATCH($B48,'Tracking &amp; Banking'!$E$8:$E$12,0),MATCH('Graph Support'!F$45,'Tracking &amp; Banking'!$E$8:$ZZ$8,0))/1000</f>
        <v>0</v>
      </c>
      <c r="G48" s="53">
        <f ca="1">INDEX('Tracking &amp; Banking'!$E$8:$ZZ$12,MATCH($B48,'Tracking &amp; Banking'!$E$8:$E$12,0),MATCH('Graph Support'!G$45,'Tracking &amp; Banking'!$E$8:$ZZ$8,0))/1000</f>
        <v>0</v>
      </c>
      <c r="H48" s="53">
        <f ca="1">INDEX('Tracking &amp; Banking'!$E$8:$ZZ$12,MATCH($B48,'Tracking &amp; Banking'!$E$8:$E$12,0),MATCH('Graph Support'!H$45,'Tracking &amp; Banking'!$E$8:$ZZ$8,0))/1000</f>
        <v>0</v>
      </c>
      <c r="I48" s="53">
        <f ca="1">INDEX('Tracking &amp; Banking'!$E$8:$ZZ$12,MATCH($B48,'Tracking &amp; Banking'!$E$8:$E$12,0),MATCH('Graph Support'!I$45,'Tracking &amp; Banking'!$E$8:$ZZ$8,0))/1000</f>
        <v>0</v>
      </c>
      <c r="J48" s="53">
        <f ca="1">INDEX('Tracking &amp; Banking'!$E$8:$ZZ$12,MATCH($B48,'Tracking &amp; Banking'!$E$8:$E$12,0),MATCH('Graph Support'!J$45,'Tracking &amp; Banking'!$E$8:$ZZ$8,0))/1000</f>
        <v>0</v>
      </c>
      <c r="K48" s="53">
        <f ca="1">INDEX('Tracking &amp; Banking'!$E$8:$ZZ$12,MATCH($B48,'Tracking &amp; Banking'!$E$8:$E$12,0),MATCH('Graph Support'!K$45,'Tracking &amp; Banking'!$E$8:$ZZ$8,0))/1000</f>
        <v>0</v>
      </c>
      <c r="L48" s="53">
        <f ca="1">INDEX('Tracking &amp; Banking'!$E$8:$ZZ$12,MATCH($B48,'Tracking &amp; Banking'!$E$8:$E$12,0),MATCH('Graph Support'!L$45,'Tracking &amp; Banking'!$E$8:$ZZ$8,0))/1000</f>
        <v>0</v>
      </c>
      <c r="M48" s="53">
        <f ca="1">INDEX('Tracking &amp; Banking'!$E$8:$ZZ$12,MATCH($B48,'Tracking &amp; Banking'!$E$8:$E$12,0),MATCH('Graph Support'!M$45,'Tracking &amp; Banking'!$E$8:$ZZ$8,0))/1000</f>
        <v>0</v>
      </c>
      <c r="N48" s="54">
        <f ca="1">INDEX('Tracking &amp; Banking'!$E$8:$ZZ$12,MATCH($B48,'Tracking &amp; Banking'!$E$8:$E$12,0),MATCH('Graph Support'!N$45,'Tracking &amp; Banking'!$E$8:$ZZ$8,0))/1000</f>
        <v>0</v>
      </c>
    </row>
    <row r="49" spans="1:14">
      <c r="A49" s="4"/>
      <c r="B49" s="1" t="s">
        <v>373</v>
      </c>
      <c r="C49" s="53">
        <f>IF(OR(Summary!$F$19="",Summary!$F$19="na",Summary!$F$19="na"),0,'Graph Support'!C48-C50)</f>
        <v>0</v>
      </c>
      <c r="D49" s="53">
        <f>IF(OR(Summary!$F$19="",Summary!$F$19="na",Summary!$F$19="na"),0,'Graph Support'!D48-D50)</f>
        <v>0</v>
      </c>
      <c r="E49" s="53">
        <f>IF(OR(Summary!$F$19="",Summary!$F$19="na",Summary!$F$19="na"),0,'Graph Support'!E48-E50)</f>
        <v>0</v>
      </c>
      <c r="F49" s="53">
        <f>IF(OR(Summary!$F$19="",Summary!$F$19="na",Summary!$F$19="na"),0,'Graph Support'!F48-F50)</f>
        <v>0</v>
      </c>
      <c r="G49" s="53">
        <f>IF(OR(Summary!$F$19="",Summary!$F$19="na",Summary!$F$19="na"),0,'Graph Support'!G48-G50)</f>
        <v>0</v>
      </c>
      <c r="H49" s="53">
        <f>IF(OR(Summary!$F$19="",Summary!$F$19="na",Summary!$F$19="na"),0,'Graph Support'!H48-H50)</f>
        <v>0</v>
      </c>
      <c r="I49" s="53">
        <f>IF(OR(Summary!$F$19="",Summary!$F$19="na",Summary!$F$19="na"),0,'Graph Support'!I48-I50)</f>
        <v>0</v>
      </c>
      <c r="J49" s="53">
        <f>IF(OR(Summary!$F$19="",Summary!$F$19="na",Summary!$F$19="na"),0,'Graph Support'!J48-J50)</f>
        <v>0</v>
      </c>
      <c r="K49" s="53">
        <f>IF(OR(Summary!$F$19="",Summary!$F$19="na",Summary!$F$19="na"),0,'Graph Support'!K48-K50)</f>
        <v>0</v>
      </c>
      <c r="L49" s="53">
        <f>IF(OR(Summary!$F$19="",Summary!$F$19="na",Summary!$F$19="na"),0,'Graph Support'!L48-L50)</f>
        <v>0</v>
      </c>
      <c r="M49" s="53">
        <f>IF(OR(Summary!$F$19="",Summary!$F$19="na",Summary!$F$19="na"),0,'Graph Support'!M48-M50)</f>
        <v>0</v>
      </c>
      <c r="N49" s="54">
        <f>IF(OR(Summary!$F$19="",Summary!$F$19="na",Summary!$F$19="na"),0,'Graph Support'!N48-N50)</f>
        <v>0</v>
      </c>
    </row>
    <row r="50" spans="1:14">
      <c r="A50" s="4"/>
      <c r="B50" s="55" t="s">
        <v>151</v>
      </c>
      <c r="C50" s="53">
        <f ca="1">INDEX('Tracking &amp; Banking'!$E$8:$ZZ$12,MATCH($B50,'Tracking &amp; Banking'!$E$8:$E$12,0),MATCH('Graph Support'!C$45,'Tracking &amp; Banking'!$E$8:$ZZ$8,0))/1000</f>
        <v>44746.468000000001</v>
      </c>
      <c r="D50" s="53">
        <f ca="1">INDEX('Tracking &amp; Banking'!$E$8:$ZZ$12,MATCH($B50,'Tracking &amp; Banking'!$E$8:$E$12,0),MATCH('Graph Support'!D$45,'Tracking &amp; Banking'!$E$8:$ZZ$8,0))/1000</f>
        <v>44436.298999999999</v>
      </c>
      <c r="E50" s="53">
        <f ca="1">INDEX('Tracking &amp; Banking'!$E$8:$ZZ$12,MATCH($B50,'Tracking &amp; Banking'!$E$8:$E$12,0),MATCH('Graph Support'!E$45,'Tracking &amp; Banking'!$E$8:$ZZ$8,0))/1000</f>
        <v>42632.991000000002</v>
      </c>
      <c r="F50" s="53">
        <f ca="1">INDEX('Tracking &amp; Banking'!$E$8:$ZZ$12,MATCH($B50,'Tracking &amp; Banking'!$E$8:$E$12,0),MATCH('Graph Support'!F$45,'Tracking &amp; Banking'!$E$8:$ZZ$8,0))/1000</f>
        <v>40189.535520000005</v>
      </c>
      <c r="G50" s="53">
        <f ca="1">INDEX('Tracking &amp; Banking'!$E$8:$ZZ$12,MATCH($B50,'Tracking &amp; Banking'!$E$8:$E$12,0),MATCH('Graph Support'!G$45,'Tracking &amp; Banking'!$E$8:$ZZ$8,0))/1000</f>
        <v>34672.946000000004</v>
      </c>
      <c r="H50" s="53">
        <f ca="1">INDEX('Tracking &amp; Banking'!$E$8:$ZZ$12,MATCH($B50,'Tracking &amp; Banking'!$E$8:$E$12,0),MATCH('Graph Support'!H$45,'Tracking &amp; Banking'!$E$8:$ZZ$8,0))/1000</f>
        <v>38907.904000000002</v>
      </c>
      <c r="I50" s="53">
        <f ca="1">INDEX('Tracking &amp; Banking'!$E$8:$ZZ$12,MATCH($B50,'Tracking &amp; Banking'!$E$8:$E$12,0),MATCH('Graph Support'!I$45,'Tracking &amp; Banking'!$E$8:$ZZ$8,0))/1000</f>
        <v>39945.620999999999</v>
      </c>
      <c r="J50" s="53">
        <f ca="1">INDEX('Tracking &amp; Banking'!$E$8:$ZZ$12,MATCH($B50,'Tracking &amp; Banking'!$E$8:$E$12,0),MATCH('Graph Support'!J$45,'Tracking &amp; Banking'!$E$8:$ZZ$8,0))/1000</f>
        <v>40821.269999999997</v>
      </c>
      <c r="K50" s="53">
        <f ca="1">INDEX('Tracking &amp; Banking'!$E$8:$ZZ$12,MATCH($B50,'Tracking &amp; Banking'!$E$8:$E$12,0),MATCH('Graph Support'!K$45,'Tracking &amp; Banking'!$E$8:$ZZ$8,0))/1000</f>
        <v>39025.892119999997</v>
      </c>
      <c r="L50" s="53">
        <f ca="1">INDEX('Tracking &amp; Banking'!$E$8:$ZZ$12,MATCH($B50,'Tracking &amp; Banking'!$E$8:$E$12,0),MATCH('Graph Support'!L$45,'Tracking &amp; Banking'!$E$8:$ZZ$8,0))/1000</f>
        <v>33523.004000000001</v>
      </c>
      <c r="M50" s="53">
        <f ca="1">INDEX('Tracking &amp; Banking'!$E$8:$ZZ$12,MATCH($B50,'Tracking &amp; Banking'!$E$8:$E$12,0),MATCH('Graph Support'!M$45,'Tracking &amp; Banking'!$E$8:$ZZ$8,0))/1000</f>
        <v>0</v>
      </c>
      <c r="N50" s="54">
        <f ca="1">INDEX('Tracking &amp; Banking'!$E$8:$ZZ$12,MATCH($B50,'Tracking &amp; Banking'!$E$8:$E$12,0),MATCH('Graph Support'!N$45,'Tracking &amp; Banking'!$E$8:$ZZ$8,0))/1000</f>
        <v>0</v>
      </c>
    </row>
    <row r="51" spans="1:14">
      <c r="A51" s="4"/>
      <c r="B51" s="56" t="s">
        <v>152</v>
      </c>
      <c r="C51" s="57">
        <f ca="1">INDEX('Tracking &amp; Banking'!$E$8:$ZZ$12,MATCH($B51,'Tracking &amp; Banking'!$E$8:$E$12,0),MATCH('Graph Support'!C$45,'Tracking &amp; Banking'!$E$8:$ZZ$8,0))</f>
        <v>0.59661957333333338</v>
      </c>
      <c r="D51" s="57">
        <f ca="1">INDEX('Tracking &amp; Banking'!$E$8:$ZZ$12,MATCH($B51,'Tracking &amp; Banking'!$E$8:$E$12,0),MATCH('Graph Support'!D$45,'Tracking &amp; Banking'!$E$8:$ZZ$8,0))</f>
        <v>0.59248398666666668</v>
      </c>
      <c r="E51" s="57">
        <f ca="1">INDEX('Tracking &amp; Banking'!$E$8:$ZZ$12,MATCH($B51,'Tracking &amp; Banking'!$E$8:$E$12,0),MATCH('Graph Support'!E$45,'Tracking &amp; Banking'!$E$8:$ZZ$8,0))</f>
        <v>0.56843988000000001</v>
      </c>
      <c r="F51" s="57">
        <f ca="1">INDEX('Tracking &amp; Banking'!$E$8:$ZZ$12,MATCH($B51,'Tracking &amp; Banking'!$E$8:$E$12,0),MATCH('Graph Support'!F$45,'Tracking &amp; Banking'!$E$8:$ZZ$8,0))</f>
        <v>0.5358604736</v>
      </c>
      <c r="G51" s="57">
        <f ca="1">INDEX('Tracking &amp; Banking'!$E$8:$ZZ$12,MATCH($B51,'Tracking &amp; Banking'!$E$8:$E$12,0),MATCH('Graph Support'!G$45,'Tracking &amp; Banking'!$E$8:$ZZ$8,0))</f>
        <v>0.46230594666666669</v>
      </c>
      <c r="H51" s="57">
        <f ca="1">INDEX('Tracking &amp; Banking'!$E$8:$ZZ$12,MATCH($B51,'Tracking &amp; Banking'!$E$8:$E$12,0),MATCH('Graph Support'!H$45,'Tracking &amp; Banking'!$E$8:$ZZ$8,0))</f>
        <v>0.51877205333333332</v>
      </c>
      <c r="I51" s="57">
        <f ca="1">INDEX('Tracking &amp; Banking'!$E$8:$ZZ$12,MATCH($B51,'Tracking &amp; Banking'!$E$8:$E$12,0),MATCH('Graph Support'!I$45,'Tracking &amp; Banking'!$E$8:$ZZ$8,0))</f>
        <v>0.53260828000000005</v>
      </c>
      <c r="J51" s="57">
        <f ca="1">INDEX('Tracking &amp; Banking'!$E$8:$ZZ$12,MATCH($B51,'Tracking &amp; Banking'!$E$8:$E$12,0),MATCH('Graph Support'!J$45,'Tracking &amp; Banking'!$E$8:$ZZ$8,0))</f>
        <v>0.54428359999999998</v>
      </c>
      <c r="K51" s="57">
        <f ca="1">INDEX('Tracking &amp; Banking'!$E$8:$ZZ$12,MATCH($B51,'Tracking &amp; Banking'!$E$8:$E$12,0),MATCH('Graph Support'!K$45,'Tracking &amp; Banking'!$E$8:$ZZ$8,0))</f>
        <v>0.52034522826666663</v>
      </c>
      <c r="L51" s="57">
        <f ca="1">INDEX('Tracking &amp; Banking'!$E$8:$ZZ$12,MATCH($B51,'Tracking &amp; Banking'!$E$8:$E$12,0),MATCH('Graph Support'!L$45,'Tracking &amp; Banking'!$E$8:$ZZ$8,0))</f>
        <v>0.44697338666666669</v>
      </c>
      <c r="M51" s="57" t="e">
        <f ca="1">INDEX('Tracking &amp; Banking'!$E$8:$ZZ$12,MATCH($B51,'Tracking &amp; Banking'!$E$8:$E$12,0),MATCH('Graph Support'!M$45,'Tracking &amp; Banking'!$E$8:$ZZ$8,0))</f>
        <v>#DIV/0!</v>
      </c>
      <c r="N51" s="58" t="e">
        <f ca="1">INDEX('Tracking &amp; Banking'!$E$8:$ZZ$12,MATCH($B51,'Tracking &amp; Banking'!$E$8:$E$12,0),MATCH('Graph Support'!N$45,'Tracking &amp; Banking'!$E$8:$ZZ$8,0))</f>
        <v>#DIV/0!</v>
      </c>
    </row>
    <row r="52" spans="1:14">
      <c r="A52" s="4"/>
      <c r="B52" s="1" t="s">
        <v>9</v>
      </c>
      <c r="C52" s="53">
        <f ca="1">INDEX('Tracking &amp; Banking'!$E$15:$ZZ$22,MATCH('Graph Support'!$B$52,'Tracking &amp; Banking'!$E$15:$E$22,0),MATCH('Graph Support'!C$45,'Tracking &amp; Banking'!$E$15:$ZZ$15,0))/1000</f>
        <v>4074.049</v>
      </c>
      <c r="D52" s="53">
        <f ca="1">INDEX('Tracking &amp; Banking'!$E$15:$ZZ$22,MATCH('Graph Support'!$B$52,'Tracking &amp; Banking'!$E$15:$E$22,0),MATCH('Graph Support'!D$45,'Tracking &amp; Banking'!$E$15:$ZZ$15,0))/1000</f>
        <v>4074.7979999999998</v>
      </c>
      <c r="E52" s="53">
        <f ca="1">INDEX('Tracking &amp; Banking'!$E$15:$ZZ$22,MATCH('Graph Support'!$B$52,'Tracking &amp; Banking'!$E$15:$E$22,0),MATCH('Graph Support'!E$45,'Tracking &amp; Banking'!$E$15:$ZZ$15,0))/1000</f>
        <v>4107.0829999999996</v>
      </c>
      <c r="F52" s="53">
        <f ca="1">INDEX('Tracking &amp; Banking'!$E$15:$ZZ$22,MATCH('Graph Support'!$B$52,'Tracking &amp; Banking'!$E$15:$E$22,0),MATCH('Graph Support'!F$45,'Tracking &amp; Banking'!$E$15:$ZZ$15,0))/1000</f>
        <v>4116.8312436668712</v>
      </c>
      <c r="G52" s="53">
        <f ca="1">INDEX('Tracking &amp; Banking'!$E$15:$ZZ$22,MATCH('Graph Support'!$B$52,'Tracking &amp; Banking'!$E$15:$E$22,0),MATCH('Graph Support'!G$45,'Tracking &amp; Banking'!$E$15:$ZZ$15,0))/1000</f>
        <v>3993.5941548387464</v>
      </c>
      <c r="H52" s="53">
        <f ca="1">INDEX('Tracking &amp; Banking'!$E$15:$ZZ$22,MATCH('Graph Support'!$B$52,'Tracking &amp; Banking'!$E$15:$E$22,0),MATCH('Graph Support'!H$45,'Tracking &amp; Banking'!$E$15:$ZZ$15,0))/1000</f>
        <v>3993.5940000000001</v>
      </c>
      <c r="I52" s="53">
        <f ca="1">INDEX('Tracking &amp; Banking'!$E$15:$ZZ$22,MATCH('Graph Support'!$B$52,'Tracking &amp; Banking'!$E$15:$E$22,0),MATCH('Graph Support'!I$45,'Tracking &amp; Banking'!$E$15:$ZZ$15,0))/1000</f>
        <v>4144.1063700000004</v>
      </c>
      <c r="J52" s="53">
        <f ca="1">INDEX('Tracking &amp; Banking'!$E$15:$ZZ$22,MATCH('Graph Support'!$B$52,'Tracking &amp; Banking'!$E$15:$E$22,0),MATCH('Graph Support'!J$45,'Tracking &amp; Banking'!$E$15:$ZZ$15,0))/1000</f>
        <v>4151.8650499999994</v>
      </c>
      <c r="K52" s="53">
        <f ca="1">INDEX('Tracking &amp; Banking'!$E$15:$ZZ$22,MATCH('Graph Support'!$B$52,'Tracking &amp; Banking'!$E$15:$E$22,0),MATCH('Graph Support'!K$45,'Tracking &amp; Banking'!$E$15:$ZZ$15,0))/1000</f>
        <v>4151.8650499999994</v>
      </c>
      <c r="L52" s="53">
        <f ca="1">INDEX('Tracking &amp; Banking'!$E$15:$ZZ$22,MATCH('Graph Support'!$B$52,'Tracking &amp; Banking'!$E$15:$E$22,0),MATCH('Graph Support'!L$45,'Tracking &amp; Banking'!$E$15:$ZZ$15,0))/1000</f>
        <v>4151.8650499999994</v>
      </c>
      <c r="M52" s="53">
        <f ca="1">INDEX('Tracking &amp; Banking'!$E$15:$ZZ$22,MATCH('Graph Support'!$B$52,'Tracking &amp; Banking'!$E$15:$E$22,0),MATCH('Graph Support'!M$45,'Tracking &amp; Banking'!$E$15:$ZZ$15,0))/1000</f>
        <v>0</v>
      </c>
      <c r="N52" s="54">
        <f ca="1">INDEX('Tracking &amp; Banking'!$E$15:$ZZ$22,MATCH('Graph Support'!$B$52,'Tracking &amp; Banking'!$E$15:$E$22,0),MATCH('Graph Support'!N$45,'Tracking &amp; Banking'!$E$15:$ZZ$15,0))/1000</f>
        <v>0</v>
      </c>
    </row>
    <row r="53" spans="1:14">
      <c r="A53" s="4"/>
      <c r="B53" s="59" t="s">
        <v>158</v>
      </c>
      <c r="C53" s="60">
        <f ca="1">INDEX('Tracking &amp; Banking'!$E$15:$ZZ$22,MATCH('Graph Support'!$B$53,'Tracking &amp; Banking'!$E$15:$E$22,0),MATCH('Graph Support'!C$45,'Tracking &amp; Banking'!$E$15:$ZZ$15,0))</f>
        <v>9.1047387248530995E-2</v>
      </c>
      <c r="D53" s="60">
        <f ca="1">INDEX('Tracking &amp; Banking'!$E$15:$ZZ$22,MATCH('Graph Support'!$B$53,'Tracking &amp; Banking'!$E$15:$E$22,0),MATCH('Graph Support'!D$45,'Tracking &amp; Banking'!$E$15:$ZZ$15,0))</f>
        <v>9.1699761044456027E-2</v>
      </c>
      <c r="E53" s="60">
        <f ca="1">INDEX('Tracking &amp; Banking'!$E$15:$ZZ$22,MATCH('Graph Support'!$B$53,'Tracking &amp; Banking'!$E$15:$E$22,0),MATCH('Graph Support'!E$45,'Tracking &amp; Banking'!$E$15:$ZZ$15,0))</f>
        <v>9.6335793095070441E-2</v>
      </c>
      <c r="F53" s="60">
        <f ca="1">INDEX('Tracking &amp; Banking'!$E$15:$ZZ$22,MATCH('Graph Support'!$B$53,'Tracking &amp; Banking'!$E$15:$E$22,0),MATCH('Graph Support'!F$45,'Tracking &amp; Banking'!$E$15:$ZZ$15,0))</f>
        <v>0.10243540241011651</v>
      </c>
      <c r="G53" s="60">
        <f ca="1">INDEX('Tracking &amp; Banking'!$E$15:$ZZ$22,MATCH('Graph Support'!$B$53,'Tracking &amp; Banking'!$E$15:$E$22,0),MATCH('Graph Support'!G$45,'Tracking &amp; Banking'!$E$15:$ZZ$15,0))</f>
        <v>0.11517896849142113</v>
      </c>
      <c r="H53" s="60">
        <f ca="1">INDEX('Tracking &amp; Banking'!$E$15:$ZZ$22,MATCH('Graph Support'!$B$53,'Tracking &amp; Banking'!$E$15:$E$22,0),MATCH('Graph Support'!H$45,'Tracking &amp; Banking'!$E$15:$ZZ$15,0))</f>
        <v>0.10264222919846826</v>
      </c>
      <c r="I53" s="60">
        <f ca="1">INDEX('Tracking &amp; Banking'!$E$15:$ZZ$22,MATCH('Graph Support'!$B$53,'Tracking &amp; Banking'!$E$15:$E$22,0),MATCH('Graph Support'!I$45,'Tracking &amp; Banking'!$E$15:$ZZ$15,0))</f>
        <v>0.103743696211407</v>
      </c>
      <c r="J53" s="60">
        <f ca="1">INDEX('Tracking &amp; Banking'!$E$15:$ZZ$22,MATCH('Graph Support'!$B$53,'Tracking &amp; Banking'!$E$15:$E$22,0),MATCH('Graph Support'!J$45,'Tracking &amp; Banking'!$E$15:$ZZ$15,0))</f>
        <v>0.10170837531512371</v>
      </c>
      <c r="K53" s="60">
        <f ca="1">INDEX('Tracking &amp; Banking'!$E$15:$ZZ$22,MATCH('Graph Support'!$B$53,'Tracking &amp; Banking'!$E$15:$E$22,0),MATCH('Graph Support'!K$45,'Tracking &amp; Banking'!$E$15:$ZZ$15,0))</f>
        <v>0.10638744752415925</v>
      </c>
      <c r="L53" s="60">
        <f ca="1">INDEX('Tracking &amp; Banking'!$E$15:$ZZ$22,MATCH('Graph Support'!$B$53,'Tracking &amp; Banking'!$E$15:$E$22,0),MATCH('Graph Support'!L$45,'Tracking &amp; Banking'!$E$15:$ZZ$15,0))</f>
        <v>0.12385122317797057</v>
      </c>
      <c r="M53" s="60" t="e">
        <f ca="1">INDEX('Tracking &amp; Banking'!$E$15:$ZZ$22,MATCH('Graph Support'!$B$53,'Tracking &amp; Banking'!$E$15:$E$22,0),MATCH('Graph Support'!M$45,'Tracking &amp; Banking'!$E$15:$ZZ$15,0))</f>
        <v>#DIV/0!</v>
      </c>
      <c r="N53" s="61" t="e">
        <f ca="1">INDEX('Tracking &amp; Banking'!$E$15:$ZZ$22,MATCH('Graph Support'!$B$53,'Tracking &amp; Banking'!$E$15:$E$22,0),MATCH('Graph Support'!N$45,'Tracking &amp; Banking'!$E$15:$ZZ$15,0))</f>
        <v>#DIV/0!</v>
      </c>
    </row>
    <row r="56" spans="1:14" ht="15.75" customHeight="1"/>
  </sheetData>
  <mergeCells count="1">
    <mergeCell ref="B13:N13"/>
  </mergeCell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585858"/>
    <pageSetUpPr fitToPage="1"/>
  </sheetPr>
  <dimension ref="B2:AC55"/>
  <sheetViews>
    <sheetView showGridLines="0" zoomScale="85" zoomScaleNormal="85" workbookViewId="0">
      <selection activeCell="F12" sqref="F12"/>
    </sheetView>
  </sheetViews>
  <sheetFormatPr defaultColWidth="9.1796875" defaultRowHeight="12.5"/>
  <cols>
    <col min="1" max="1" width="4.453125" style="261" customWidth="1"/>
    <col min="2" max="2" width="18.1796875" style="261" customWidth="1"/>
    <col min="3" max="4" width="9.1796875" style="261"/>
    <col min="5" max="5" width="13.453125" style="261" bestFit="1" customWidth="1"/>
    <col min="6" max="6" width="11.54296875" style="261" customWidth="1"/>
    <col min="7" max="7" width="12.81640625" style="261" bestFit="1" customWidth="1"/>
    <col min="8" max="8" width="11.453125" style="261" bestFit="1" customWidth="1"/>
    <col min="9" max="9" width="9.81640625" style="261" customWidth="1"/>
    <col min="10" max="10" width="9.1796875" style="261"/>
    <col min="11" max="11" width="8" style="261" customWidth="1"/>
    <col min="12" max="12" width="12.1796875" style="261" customWidth="1"/>
    <col min="13" max="13" width="11.54296875" style="261" bestFit="1" customWidth="1"/>
    <col min="14" max="14" width="11.54296875" style="261" customWidth="1"/>
    <col min="15" max="16" width="9.453125" style="261" bestFit="1" customWidth="1"/>
    <col min="17" max="17" width="10.453125" style="261" bestFit="1" customWidth="1"/>
    <col min="18" max="18" width="11.81640625" style="261" bestFit="1" customWidth="1"/>
    <col min="19" max="19" width="9.453125" style="261" bestFit="1" customWidth="1"/>
    <col min="20" max="20" width="11.54296875" style="261" customWidth="1"/>
    <col min="21" max="21" width="10.54296875" style="261" customWidth="1"/>
    <col min="22" max="22" width="11.54296875" style="261" customWidth="1"/>
    <col min="23" max="23" width="11.453125" style="261" customWidth="1"/>
    <col min="24" max="24" width="11.1796875" style="261" customWidth="1"/>
    <col min="25" max="26" width="9.1796875" style="261"/>
    <col min="27" max="27" width="11.54296875" style="261" customWidth="1"/>
    <col min="28" max="29" width="11.453125" style="261" customWidth="1"/>
    <col min="30" max="31" width="9.1796875" style="261"/>
    <col min="32" max="32" width="13.81640625" style="261" bestFit="1" customWidth="1"/>
    <col min="33" max="36" width="9.453125" style="261" bestFit="1" customWidth="1"/>
    <col min="37" max="39" width="9.1796875" style="261"/>
    <col min="40" max="41" width="9.453125" style="261" bestFit="1" customWidth="1"/>
    <col min="42" max="16384" width="9.1796875" style="261"/>
  </cols>
  <sheetData>
    <row r="2" spans="2:29" ht="15" customHeight="1" thickBot="1">
      <c r="W2" s="483"/>
    </row>
    <row r="3" spans="2:29" ht="16" thickBot="1">
      <c r="B3" s="818" t="s">
        <v>374</v>
      </c>
      <c r="C3" s="819"/>
      <c r="D3" s="819"/>
      <c r="E3" s="819"/>
      <c r="F3" s="819"/>
      <c r="G3" s="819"/>
      <c r="H3" s="819"/>
      <c r="I3" s="819"/>
      <c r="J3" s="819"/>
      <c r="K3" s="819"/>
      <c r="L3" s="819"/>
      <c r="M3" s="819"/>
      <c r="N3" s="819"/>
      <c r="O3" s="819"/>
      <c r="P3" s="819"/>
      <c r="Q3" s="819"/>
      <c r="R3" s="819"/>
      <c r="S3" s="819"/>
      <c r="T3" s="819"/>
      <c r="U3" s="820"/>
    </row>
    <row r="4" spans="2:29" ht="41" thickBot="1">
      <c r="B4" s="494"/>
      <c r="C4" s="494"/>
      <c r="D4" s="494"/>
      <c r="E4" s="791" t="s">
        <v>375</v>
      </c>
      <c r="F4" s="791" t="s">
        <v>376</v>
      </c>
      <c r="G4" s="791" t="s">
        <v>377</v>
      </c>
      <c r="H4" s="791" t="s">
        <v>378</v>
      </c>
      <c r="I4" s="805" t="s">
        <v>379</v>
      </c>
      <c r="J4" s="806"/>
      <c r="K4" s="807" t="s">
        <v>380</v>
      </c>
      <c r="L4" s="809" t="s">
        <v>381</v>
      </c>
      <c r="M4" s="805" t="s">
        <v>382</v>
      </c>
      <c r="N4" s="806"/>
      <c r="O4" s="805" t="s">
        <v>383</v>
      </c>
      <c r="P4" s="806"/>
      <c r="Q4" s="811" t="s">
        <v>253</v>
      </c>
      <c r="R4" s="812"/>
      <c r="S4" s="495" t="s">
        <v>220</v>
      </c>
      <c r="T4" s="496" t="s">
        <v>384</v>
      </c>
      <c r="U4" s="496" t="s">
        <v>369</v>
      </c>
    </row>
    <row r="5" spans="2:29" ht="13.5">
      <c r="B5" s="485" t="s">
        <v>385</v>
      </c>
      <c r="C5" s="486" t="s">
        <v>386</v>
      </c>
      <c r="D5" s="486" t="s">
        <v>387</v>
      </c>
      <c r="E5" s="792"/>
      <c r="F5" s="792"/>
      <c r="G5" s="792"/>
      <c r="H5" s="792"/>
      <c r="I5" s="496" t="s">
        <v>388</v>
      </c>
      <c r="J5" s="496" t="s">
        <v>389</v>
      </c>
      <c r="K5" s="808"/>
      <c r="L5" s="810"/>
      <c r="M5" s="497" t="s">
        <v>390</v>
      </c>
      <c r="N5" s="636">
        <f>Summary!K2</f>
        <v>46112</v>
      </c>
      <c r="O5" s="497" t="s">
        <v>390</v>
      </c>
      <c r="P5" s="498">
        <f>$N$5</f>
        <v>46112</v>
      </c>
      <c r="Q5" s="497" t="s">
        <v>390</v>
      </c>
      <c r="R5" s="498">
        <f>P5</f>
        <v>46112</v>
      </c>
      <c r="S5" s="499">
        <f>$N$5</f>
        <v>46112</v>
      </c>
      <c r="T5" s="498">
        <f>$N$5</f>
        <v>46112</v>
      </c>
      <c r="U5" s="498">
        <f>$N$5</f>
        <v>46112</v>
      </c>
    </row>
    <row r="6" spans="2:29" ht="18.75" customHeight="1">
      <c r="B6" s="502" t="str">
        <f>Summary!$C$7</f>
        <v>123 Fake Co</v>
      </c>
      <c r="C6" s="500" t="str">
        <f>MID(Summary!C5, SEARCH(" ",Summary!C5) + 1, SEARCH(" ",Summary!C5,SEARCH(" ",Summary!C5)+1) - SEARCH(" ",Summary!C5) - 1)</f>
        <v>Name</v>
      </c>
      <c r="D6" s="500" t="str">
        <f>MID(Summary!C5, FIND(" ", Summary!C5,FIND(" ", Summary!C5,FIND(" ", Summary!C5,FIND(" ",Summary!C5)+1)+1) +1)+1,30000)</f>
        <v>Name</v>
      </c>
      <c r="E6" s="501">
        <f>IF(OR(Summary!$F$19=0,Summary!$F$19="NA"),Summary!$C$19,Summary!$F$19)/1000</f>
        <v>75000</v>
      </c>
      <c r="F6" s="501">
        <f ca="1">HLOOKUP(EOMONTH(TODAY(),-1),'Tracking &amp; Banking'!$C$8:$ZZ$12,4)/1000</f>
        <v>0</v>
      </c>
      <c r="G6" s="501">
        <f ca="1">HLOOKUP(EOMONTH(TODAY(),-1),'Tracking &amp; Banking'!$C$15:$ZZ$22,7)/1000</f>
        <v>0</v>
      </c>
      <c r="H6" s="503" t="e">
        <f ca="1">HLOOKUP(EOMONTH(TODAY(),-1),'Tracking &amp; Banking'!$C$15:$ZZ$22,8)</f>
        <v>#DIV/0!</v>
      </c>
      <c r="I6" s="502" t="str">
        <f>Summary!$C$28</f>
        <v>5 (3F)</v>
      </c>
      <c r="J6" s="502" t="str">
        <f>Summary!$C$29</f>
        <v>5 (3F)</v>
      </c>
      <c r="K6" s="502" t="str">
        <f>Summary!$C$27</f>
        <v>Top</v>
      </c>
      <c r="L6" s="502" t="str">
        <f ca="1">IF(OR(Summary!I53="Past Due",Summary!I54="Past Due",Summary!I55="Past Due",Summary!I56="Past Due",Summary!I57="Past Due",Summary!I58="Past Due",Summary!I62="Past Due",Summary!I63="Past Due",Summary!I64="Past Due",Summary!I65="Past Due",Summary!I66="Past Due",Summary!I68="Past Due"),"Past Due","Current")</f>
        <v>Past Due</v>
      </c>
      <c r="M6" s="504">
        <f>HLOOKUP(N5,Covenants!$B$15:$ZZ$26,9)</f>
        <v>1556411</v>
      </c>
      <c r="N6" s="505">
        <f>HLOOKUP(N5,Covenants!$B$15:$ZZ$26,7)</f>
        <v>2072554</v>
      </c>
      <c r="O6" s="638" t="s">
        <v>21</v>
      </c>
      <c r="P6" s="638" t="s">
        <v>21</v>
      </c>
      <c r="Q6" s="506">
        <f>HLOOKUP(N5,Covenants!$B$3:$ZZ$13,8)</f>
        <v>100000</v>
      </c>
      <c r="R6" s="507">
        <f>HLOOKUP(R5,Covenants!$B$3:$ZZ$13,7)</f>
        <v>354966</v>
      </c>
      <c r="S6" s="503">
        <f>HLOOKUP(S5,'Income Stmt'!$B$22:$ZZ$29,MATCH(S4,'Income Stmt'!$B$22:$B$29,0))</f>
        <v>5.7999665435948908E-2</v>
      </c>
      <c r="T6" s="503" t="s">
        <v>21</v>
      </c>
      <c r="U6" s="508" t="s">
        <v>21</v>
      </c>
    </row>
    <row r="7" spans="2:29" ht="13">
      <c r="M7" s="325" t="s">
        <v>391</v>
      </c>
      <c r="N7" s="325" t="s">
        <v>391</v>
      </c>
      <c r="O7" s="325" t="s">
        <v>391</v>
      </c>
      <c r="P7" s="325" t="s">
        <v>391</v>
      </c>
      <c r="Q7" s="325" t="s">
        <v>391</v>
      </c>
      <c r="R7" s="325" t="s">
        <v>391</v>
      </c>
      <c r="S7" s="325" t="s">
        <v>391</v>
      </c>
      <c r="T7" s="325" t="s">
        <v>391</v>
      </c>
      <c r="U7" s="325" t="s">
        <v>391</v>
      </c>
    </row>
    <row r="8" spans="2:29" ht="14.5">
      <c r="O8" s="644" t="s">
        <v>392</v>
      </c>
      <c r="P8" s="644" t="s">
        <v>393</v>
      </c>
      <c r="T8" s="644" t="s">
        <v>394</v>
      </c>
      <c r="U8" s="644" t="s">
        <v>395</v>
      </c>
    </row>
    <row r="9" spans="2:29" ht="16" thickBot="1">
      <c r="B9" s="821" t="s">
        <v>396</v>
      </c>
      <c r="C9" s="822"/>
      <c r="D9" s="822"/>
      <c r="E9" s="822"/>
      <c r="F9" s="822"/>
      <c r="G9" s="822"/>
      <c r="H9" s="822"/>
      <c r="I9" s="822"/>
      <c r="J9" s="822"/>
      <c r="K9" s="822"/>
      <c r="L9" s="822"/>
      <c r="M9" s="822"/>
      <c r="N9" s="822"/>
      <c r="O9" s="822"/>
      <c r="P9" s="822"/>
      <c r="Q9" s="822"/>
      <c r="R9" s="822"/>
      <c r="S9" s="822"/>
      <c r="T9" s="822"/>
      <c r="U9" s="822"/>
      <c r="V9" s="822"/>
      <c r="W9" s="822"/>
      <c r="X9" s="822"/>
      <c r="Y9" s="822"/>
      <c r="Z9" s="822"/>
      <c r="AA9" s="822"/>
      <c r="AB9" s="822"/>
      <c r="AC9" s="823"/>
    </row>
    <row r="10" spans="2:29" ht="18" customHeight="1" thickBot="1">
      <c r="B10" s="484"/>
      <c r="C10" s="484"/>
      <c r="D10" s="599"/>
      <c r="E10" s="824" t="s">
        <v>397</v>
      </c>
      <c r="F10" s="825"/>
      <c r="G10" s="825"/>
      <c r="H10" s="825"/>
      <c r="I10" s="825"/>
      <c r="J10" s="825"/>
      <c r="K10" s="825"/>
      <c r="L10" s="825"/>
      <c r="M10" s="825"/>
      <c r="N10" s="825"/>
      <c r="O10" s="825"/>
      <c r="P10" s="825"/>
      <c r="Q10" s="825"/>
      <c r="R10" s="815" t="s">
        <v>398</v>
      </c>
      <c r="S10" s="816"/>
      <c r="T10" s="816"/>
      <c r="U10" s="816"/>
      <c r="V10" s="816"/>
      <c r="W10" s="816"/>
      <c r="X10" s="816"/>
      <c r="Y10" s="816"/>
      <c r="Z10" s="816"/>
      <c r="AA10" s="815" t="s">
        <v>399</v>
      </c>
      <c r="AB10" s="816"/>
      <c r="AC10" s="817"/>
    </row>
    <row r="11" spans="2:29" ht="40.5">
      <c r="B11" s="485" t="s">
        <v>385</v>
      </c>
      <c r="C11" s="486" t="s">
        <v>386</v>
      </c>
      <c r="D11" s="600" t="s">
        <v>387</v>
      </c>
      <c r="E11" s="491"/>
      <c r="F11" s="488">
        <f t="shared" ref="F11:O11" si="0">EOMONTH(G11,-1)</f>
        <v>45777</v>
      </c>
      <c r="G11" s="488">
        <f t="shared" si="0"/>
        <v>45808</v>
      </c>
      <c r="H11" s="487">
        <f t="shared" si="0"/>
        <v>45838</v>
      </c>
      <c r="I11" s="488">
        <f t="shared" si="0"/>
        <v>45869</v>
      </c>
      <c r="J11" s="487">
        <f t="shared" si="0"/>
        <v>45900</v>
      </c>
      <c r="K11" s="488">
        <f t="shared" si="0"/>
        <v>45930</v>
      </c>
      <c r="L11" s="487">
        <f t="shared" si="0"/>
        <v>45961</v>
      </c>
      <c r="M11" s="488">
        <f t="shared" si="0"/>
        <v>45991</v>
      </c>
      <c r="N11" s="487">
        <f t="shared" si="0"/>
        <v>46022</v>
      </c>
      <c r="O11" s="488">
        <f t="shared" si="0"/>
        <v>46053</v>
      </c>
      <c r="P11" s="487">
        <f>EOMONTH(Q11,-1)</f>
        <v>46081</v>
      </c>
      <c r="Q11" s="637">
        <f>N5</f>
        <v>46112</v>
      </c>
      <c r="R11" s="489" t="s">
        <v>183</v>
      </c>
      <c r="S11" s="489" t="s">
        <v>213</v>
      </c>
      <c r="T11" s="490" t="s">
        <v>400</v>
      </c>
      <c r="U11" s="489" t="s">
        <v>185</v>
      </c>
      <c r="V11" s="490" t="str">
        <f>"Breakeven "&amp;TEXT(EOMONTH(Q11,-12),"mmm-yy")</f>
        <v>Breakeven Mar-25</v>
      </c>
      <c r="W11" s="489" t="str">
        <f>"Breakeven "&amp;TEXT(Q11,"mmm-yy")</f>
        <v>Breakeven Mar-26</v>
      </c>
      <c r="X11" s="489" t="s">
        <v>401</v>
      </c>
      <c r="Y11" s="489" t="s">
        <v>402</v>
      </c>
      <c r="Z11" s="490" t="s">
        <v>403</v>
      </c>
      <c r="AA11" s="489" t="s">
        <v>115</v>
      </c>
      <c r="AB11" s="490" t="s">
        <v>117</v>
      </c>
      <c r="AC11" s="489" t="s">
        <v>121</v>
      </c>
    </row>
    <row r="12" spans="2:29" ht="22.5" customHeight="1">
      <c r="B12" s="826" t="str">
        <f>Summary!$C$7</f>
        <v>123 Fake Co</v>
      </c>
      <c r="C12" s="789" t="str">
        <f>C6</f>
        <v>Name</v>
      </c>
      <c r="D12" s="789" t="str">
        <f>D6</f>
        <v>Name</v>
      </c>
      <c r="E12" s="492" t="s">
        <v>349</v>
      </c>
      <c r="F12" s="513">
        <f>_xlfn.IFNA(HLOOKUP('Quarterly PR'!F11,Inventory!$B$3:$ZZ$4,2),"-")</f>
        <v>363.66666666666669</v>
      </c>
      <c r="G12" s="514">
        <f>_xlfn.IFNA(HLOOKUP('Quarterly PR'!G11,Inventory!$B$3:$ZZ$4,2),"-")</f>
        <v>364</v>
      </c>
      <c r="H12" s="514">
        <f>_xlfn.IFNA(HLOOKUP('Quarterly PR'!H11,Inventory!$B$3:$ZZ$4,2),"-")</f>
        <v>364</v>
      </c>
      <c r="I12" s="515">
        <f>_xlfn.IFNA(HLOOKUP('Quarterly PR'!I11,Inventory!$B$3:$ZZ$4,2),"-")</f>
        <v>523</v>
      </c>
      <c r="J12" s="514">
        <f>_xlfn.IFNA(HLOOKUP('Quarterly PR'!J11,Inventory!$B$3:$ZZ$4,2),"-")</f>
        <v>523</v>
      </c>
      <c r="K12" s="513">
        <f>_xlfn.IFNA(HLOOKUP('Quarterly PR'!K11,Inventory!$B$3:$ZZ$4,2),"-")</f>
        <v>523</v>
      </c>
      <c r="L12" s="514">
        <f>_xlfn.IFNA(HLOOKUP('Quarterly PR'!L11,Inventory!$B$3:$ZZ$4,2),"-")</f>
        <v>523</v>
      </c>
      <c r="M12" s="514">
        <f>_xlfn.IFNA(HLOOKUP('Quarterly PR'!M11,Inventory!$B$3:$ZZ$4,2),"-")</f>
        <v>523</v>
      </c>
      <c r="N12" s="513">
        <f>_xlfn.IFNA(HLOOKUP('Quarterly PR'!N11,Inventory!$B$3:$ZZ$4,2),"-")</f>
        <v>523</v>
      </c>
      <c r="O12" s="514">
        <f>_xlfn.IFNA(HLOOKUP('Quarterly PR'!O11,Inventory!$B$3:$ZZ$4,2),"-")</f>
        <v>293.66666666666669</v>
      </c>
      <c r="P12" s="513">
        <f>_xlfn.IFNA(HLOOKUP('Quarterly PR'!P11,Inventory!$B$3:$ZZ$4,2),"-")</f>
        <v>293.66666666666669</v>
      </c>
      <c r="Q12" s="514">
        <f>_xlfn.IFNA(HLOOKUP('Quarterly PR'!Q11,Inventory!$B$3:$ZZ$4,2),"-")</f>
        <v>293.66666666666669</v>
      </c>
      <c r="R12" s="801">
        <f>SUM(F12:Q12)</f>
        <v>5110.6666666666679</v>
      </c>
      <c r="S12" s="801">
        <f>SUM(F13:Q13)</f>
        <v>4334</v>
      </c>
      <c r="T12" s="801">
        <f>R12/12</f>
        <v>425.88888888888897</v>
      </c>
      <c r="U12" s="801">
        <f>S12/12</f>
        <v>361.16666666666669</v>
      </c>
      <c r="V12" s="801">
        <f>HLOOKUP(EOMONTH(Q11,-12),'Income Stmt'!$B$22:$ZZ$29,6)/(HLOOKUP(R53,'Income Stmt'!$B$22:$ZZ$29,4)/HLOOKUP(R53,Inventory!$B$8:$ZZ$11,4))</f>
        <v>1178.4682762359266</v>
      </c>
      <c r="W12" s="801">
        <f>HLOOKUP(Q11,'Income Stmt'!$B$22:$ZZ$29,6)/(HLOOKUP(S53,'Income Stmt'!$B$22:$ZZ$29,4)/HLOOKUP(S53,Inventory!$B$8:$ZZ$11,4))</f>
        <v>3325.9580471035611</v>
      </c>
      <c r="X12" s="828">
        <f>Summary!N86</f>
        <v>0.53659985913452379</v>
      </c>
      <c r="Y12" s="801">
        <f>_xlfn.IFNA(HLOOKUP(Q11,Inventory!$B$36:$ZZ$38,2),"NA")</f>
        <v>59028</v>
      </c>
      <c r="Z12" s="801">
        <f>_xlfn.IFNA(HLOOKUP(Q11,Inventory!$B$36:$ZZ$38,3),"NA")</f>
        <v>201.00340522133936</v>
      </c>
      <c r="AA12" s="803">
        <f>HLOOKUP(Q11,'Income Stmt'!$B$22:$ZZ$29,MATCH(AA11,'Income Stmt'!$B$22:$B$29,0))</f>
        <v>1673820</v>
      </c>
      <c r="AB12" s="813">
        <f>HLOOKUP(Q11,'Income Stmt'!$B$22:$ZZ$29,MATCH(AB11,'Income Stmt'!$B$22:$B$29,0))/AA12</f>
        <v>0.20298598415600244</v>
      </c>
      <c r="AC12" s="813">
        <f>HLOOKUP(Q11,'Income Stmt'!$B$22:$ZZ$29,MATCH(AC11,'Income Stmt'!$B$22:$B$29,0))/AA12</f>
        <v>5.7999665435948908E-2</v>
      </c>
    </row>
    <row r="13" spans="2:29" ht="21.75" customHeight="1" thickBot="1">
      <c r="B13" s="827"/>
      <c r="C13" s="790"/>
      <c r="D13" s="790"/>
      <c r="E13" s="493" t="s">
        <v>355</v>
      </c>
      <c r="F13" s="516">
        <f>_xlfn.IFNA(HLOOKUP('Quarterly PR'!F$11,Inventory!$B$8:$ZZ$9,2),"-")</f>
        <v>441</v>
      </c>
      <c r="G13" s="517">
        <f>_xlfn.IFNA(HLOOKUP('Quarterly PR'!G$11,Inventory!$B$8:$ZZ$9,2),"-")</f>
        <v>441</v>
      </c>
      <c r="H13" s="517">
        <f>_xlfn.IFNA(HLOOKUP('Quarterly PR'!H$11,Inventory!$B$8:$ZZ$9,2),"-")</f>
        <v>441</v>
      </c>
      <c r="I13" s="518">
        <f>_xlfn.IFNA(HLOOKUP('Quarterly PR'!I$11,Inventory!$B$8:$ZZ$9,2),"-")</f>
        <v>355</v>
      </c>
      <c r="J13" s="517">
        <f>_xlfn.IFNA(HLOOKUP('Quarterly PR'!J$11,Inventory!$B$8:$ZZ$9,2),"-")</f>
        <v>355</v>
      </c>
      <c r="K13" s="516">
        <f>_xlfn.IFNA(HLOOKUP('Quarterly PR'!K$11,Inventory!$B$8:$ZZ$9,2),"-")</f>
        <v>355</v>
      </c>
      <c r="L13" s="517">
        <f>_xlfn.IFNA(HLOOKUP('Quarterly PR'!L$11,Inventory!$B$8:$ZZ$9,2),"-")</f>
        <v>355</v>
      </c>
      <c r="M13" s="517">
        <f>_xlfn.IFNA(HLOOKUP('Quarterly PR'!M$11,Inventory!$B$8:$ZZ$9,2),"-")</f>
        <v>355</v>
      </c>
      <c r="N13" s="516">
        <f>_xlfn.IFNA(HLOOKUP('Quarterly PR'!N$11,Inventory!$B$8:$ZZ$9,2),"-")</f>
        <v>355</v>
      </c>
      <c r="O13" s="517">
        <f>_xlfn.IFNA(HLOOKUP('Quarterly PR'!O$11,Inventory!$B$8:$ZZ$9,2),"-")</f>
        <v>293.66666666666669</v>
      </c>
      <c r="P13" s="516">
        <f>_xlfn.IFNA(HLOOKUP('Quarterly PR'!P$11,Inventory!$B$8:$ZZ$9,2),"-")</f>
        <v>293.66666666666669</v>
      </c>
      <c r="Q13" s="517">
        <f>_xlfn.IFNA(HLOOKUP('Quarterly PR'!Q$11,Inventory!$B$8:$ZZ$9,2),"-")</f>
        <v>293.66666666666669</v>
      </c>
      <c r="R13" s="802"/>
      <c r="S13" s="802"/>
      <c r="T13" s="802"/>
      <c r="U13" s="802"/>
      <c r="V13" s="802"/>
      <c r="W13" s="802"/>
      <c r="X13" s="829"/>
      <c r="Y13" s="802"/>
      <c r="Z13" s="802"/>
      <c r="AA13" s="804"/>
      <c r="AB13" s="814"/>
      <c r="AC13" s="814"/>
    </row>
    <row r="15" spans="2:29" ht="13">
      <c r="F15" s="325" t="s">
        <v>391</v>
      </c>
      <c r="G15" s="325" t="s">
        <v>391</v>
      </c>
      <c r="H15" s="325" t="s">
        <v>391</v>
      </c>
      <c r="I15" s="325" t="s">
        <v>391</v>
      </c>
      <c r="J15" s="325" t="s">
        <v>391</v>
      </c>
      <c r="K15" s="325" t="s">
        <v>391</v>
      </c>
      <c r="L15" s="325" t="s">
        <v>391</v>
      </c>
      <c r="M15" s="325" t="s">
        <v>391</v>
      </c>
      <c r="N15" s="325" t="s">
        <v>391</v>
      </c>
      <c r="O15" s="325" t="s">
        <v>391</v>
      </c>
      <c r="P15" s="325" t="s">
        <v>391</v>
      </c>
      <c r="Q15" s="325" t="s">
        <v>391</v>
      </c>
      <c r="R15" s="325" t="s">
        <v>391</v>
      </c>
      <c r="S15" s="325" t="s">
        <v>391</v>
      </c>
      <c r="T15" s="325" t="s">
        <v>391</v>
      </c>
      <c r="U15" s="325" t="s">
        <v>391</v>
      </c>
      <c r="V15" s="325" t="s">
        <v>391</v>
      </c>
      <c r="W15" s="325" t="s">
        <v>391</v>
      </c>
      <c r="X15" s="325" t="s">
        <v>391</v>
      </c>
      <c r="Y15" s="325" t="s">
        <v>391</v>
      </c>
      <c r="Z15" s="325" t="s">
        <v>391</v>
      </c>
      <c r="AA15" s="325" t="s">
        <v>391</v>
      </c>
      <c r="AB15" s="325" t="s">
        <v>391</v>
      </c>
      <c r="AC15" s="325" t="s">
        <v>391</v>
      </c>
    </row>
    <row r="50" spans="3:26" ht="13" thickBot="1"/>
    <row r="51" spans="3:26" ht="13.5" thickBot="1">
      <c r="C51" s="269"/>
      <c r="D51" s="269"/>
      <c r="E51" s="269"/>
      <c r="F51" s="475"/>
      <c r="G51" s="798" t="s">
        <v>404</v>
      </c>
      <c r="H51" s="799"/>
      <c r="I51" s="799"/>
      <c r="J51" s="799"/>
      <c r="K51" s="799"/>
      <c r="L51" s="799"/>
      <c r="M51" s="799"/>
      <c r="N51" s="800"/>
      <c r="O51" s="793" t="s">
        <v>399</v>
      </c>
      <c r="P51" s="794"/>
      <c r="Q51" s="795"/>
      <c r="R51" s="793" t="s">
        <v>405</v>
      </c>
      <c r="S51" s="794"/>
      <c r="T51" s="794"/>
      <c r="U51" s="794"/>
      <c r="V51" s="794"/>
      <c r="W51" s="794"/>
      <c r="X51" s="794"/>
      <c r="Y51" s="794"/>
      <c r="Z51" s="795"/>
    </row>
    <row r="52" spans="3:26" ht="39.5" thickBot="1">
      <c r="C52" s="270"/>
      <c r="D52" s="270"/>
      <c r="E52" s="271"/>
      <c r="F52" s="476" t="s">
        <v>213</v>
      </c>
      <c r="G52" s="796" t="str">
        <f>IF(MONTH(EOMONTH(F53,-9))=3,"1Q "&amp;YEAR(EOMONTH(F53,-9)),IF(MONTH(EOMONTH(F53,-9))=6,"2Q "&amp;YEAR(EOMONTH(F53,-9)),IF(MONTH(EOMONTH(F53,-9))=9,"3Q "&amp;YEAR(EOMONTH(F53,-9)),IF(MONTH(EOMONTH(F53,-9))=12,"4Q "&amp;YEAR(EOMONTH(F53,-9))))))</f>
        <v>2Q 2025</v>
      </c>
      <c r="H52" s="797"/>
      <c r="I52" s="796" t="str">
        <f>IF(MONTH(EOMONTH(F53,-6))=3,"1Q "&amp;YEAR(EOMONTH(F53,-6)),IF(MONTH(EOMONTH(F53,-6))=6,"2Q "&amp;YEAR(EOMONTH(F53,-6)),IF(MONTH(EOMONTH(F53,-6))=9,"3Q "&amp;YEAR(EOMONTH(F53,-6)),IF(MONTH(EOMONTH(F53,-6))=12,"4Q "&amp;YEAR(EOMONTH(F53,-6))))))</f>
        <v>3Q 2025</v>
      </c>
      <c r="J52" s="797"/>
      <c r="K52" s="796" t="str">
        <f>IF(MONTH(EOMONTH(F53,-3))=3,"1Q "&amp;YEAR(EOMONTH(F53,-3)),IF(MONTH(EOMONTH(F53,-3))=6,"2Q "&amp;YEAR(EOMONTH(F53,-3)),IF(MONTH(EOMONTH(F53,-3))=9,"3Q "&amp;YEAR(EOMONTH(F53,-3)),IF(MONTH(EOMONTH(F53,-3))=12,"4Q "&amp;YEAR(EOMONTH(F53,-3))))))</f>
        <v>4Q 2025</v>
      </c>
      <c r="L52" s="797"/>
      <c r="M52" s="796" t="str">
        <f>IF(MONTH(F53)=3,"1Q "&amp;YEAR(F53),IF(MONTH(F53)=6,"2Q "&amp;YEAR(F53),IF(MONTH(F53)=9,"3Q "&amp;YEAR(F53),IF(MONTH(F53)=12,"4Q "&amp;YEAR(F53)))))</f>
        <v>1Q 2026</v>
      </c>
      <c r="N52" s="797"/>
      <c r="O52" s="262" t="s">
        <v>115</v>
      </c>
      <c r="P52" s="262" t="s">
        <v>117</v>
      </c>
      <c r="Q52" s="262" t="s">
        <v>121</v>
      </c>
      <c r="R52" s="263" t="s">
        <v>406</v>
      </c>
      <c r="S52" s="264" t="s">
        <v>407</v>
      </c>
      <c r="T52" s="264" t="s">
        <v>401</v>
      </c>
      <c r="U52" s="264" t="s">
        <v>408</v>
      </c>
      <c r="V52" s="264" t="s">
        <v>409</v>
      </c>
      <c r="W52" s="264" t="s">
        <v>410</v>
      </c>
      <c r="X52" s="264" t="s">
        <v>411</v>
      </c>
      <c r="Y52" s="264" t="s">
        <v>402</v>
      </c>
      <c r="Z52" s="272" t="s">
        <v>209</v>
      </c>
    </row>
    <row r="53" spans="3:26" ht="13.5" thickBot="1">
      <c r="C53" s="268" t="s">
        <v>385</v>
      </c>
      <c r="D53" s="268"/>
      <c r="E53" s="468" t="s">
        <v>386</v>
      </c>
      <c r="F53" s="273">
        <f>Q11</f>
        <v>46112</v>
      </c>
      <c r="G53" s="265" t="s">
        <v>349</v>
      </c>
      <c r="H53" s="266" t="s">
        <v>355</v>
      </c>
      <c r="I53" s="265" t="s">
        <v>349</v>
      </c>
      <c r="J53" s="266" t="s">
        <v>355</v>
      </c>
      <c r="K53" s="265" t="s">
        <v>349</v>
      </c>
      <c r="L53" s="266" t="s">
        <v>355</v>
      </c>
      <c r="M53" s="265" t="s">
        <v>349</v>
      </c>
      <c r="N53" s="266" t="s">
        <v>355</v>
      </c>
      <c r="O53" s="463">
        <f>$F$53</f>
        <v>46112</v>
      </c>
      <c r="P53" s="463">
        <f>$F$53</f>
        <v>46112</v>
      </c>
      <c r="Q53" s="463">
        <f>$F$53</f>
        <v>46112</v>
      </c>
      <c r="R53" s="464">
        <f>DATE(YEAR(Q53)-1,MONTH(Q53),DAY(Q53))</f>
        <v>45747</v>
      </c>
      <c r="S53" s="463">
        <f t="shared" ref="S53:Z53" si="1">$F$53</f>
        <v>46112</v>
      </c>
      <c r="T53" s="463">
        <f t="shared" si="1"/>
        <v>46112</v>
      </c>
      <c r="U53" s="463">
        <f t="shared" si="1"/>
        <v>46112</v>
      </c>
      <c r="V53" s="463">
        <f t="shared" si="1"/>
        <v>46112</v>
      </c>
      <c r="W53" s="463">
        <f t="shared" si="1"/>
        <v>46112</v>
      </c>
      <c r="X53" s="463">
        <f t="shared" si="1"/>
        <v>46112</v>
      </c>
      <c r="Y53" s="463">
        <f t="shared" si="1"/>
        <v>46112</v>
      </c>
      <c r="Z53" s="463">
        <f t="shared" si="1"/>
        <v>46112</v>
      </c>
    </row>
    <row r="54" spans="3:26">
      <c r="C54" s="261" t="s">
        <v>412</v>
      </c>
      <c r="E54" s="267" t="s">
        <v>413</v>
      </c>
      <c r="F54" s="267">
        <f>HLOOKUP('Quarterly PR'!F53,Inventory!$B$52:$ZZ$56,4)</f>
        <v>8450.3333333333321</v>
      </c>
      <c r="G54" s="322">
        <f>SUMIFS(Inventory!$B$46:$ZZ$46,Inventory!$B$45:$ZZ$45,"&lt;="&amp;EOMONTH('Quarterly PR'!$F$53,-9),Inventory!$B$45:$ZZ$45,"&gt;"&amp;EOMONTH('Quarterly PR'!$F$53,-12))</f>
        <v>1323</v>
      </c>
      <c r="H54" s="322">
        <f>SUMIFS(Inventory!$B$53:$ZZ$53,Inventory!$B$52:$ZZ$52,"&lt;="&amp;EOMONTH('Quarterly PR'!$F$53,-9),Inventory!$B$52:$ZZ$52,"&gt;"&amp;EOMONTH('Quarterly PR'!$F$53,-12))</f>
        <v>1323</v>
      </c>
      <c r="I54" s="322">
        <f>SUMIFS(Inventory!$B$46:$ZZ$46,Inventory!$B$45:$ZZ$45,"&lt;="&amp;EOMONTH('Quarterly PR'!$F$53,-6),Inventory!$B$45:$ZZ$45,"&gt;"&amp;EOMONTH('Quarterly PR'!$F$53,-9))</f>
        <v>0</v>
      </c>
      <c r="J54" s="322">
        <f>SUMIFS(Inventory!$B$53:$ZZ$53,Inventory!$B$52:$ZZ$52,"&lt;="&amp;EOMONTH('Quarterly PR'!$F$53,-6),Inventory!$B$52:$ZZ$52,"&gt;"&amp;EOMONTH('Quarterly PR'!$F$53,-9))</f>
        <v>0</v>
      </c>
      <c r="K54" s="322">
        <f>SUMIFS(Inventory!$B$46:$ZZ$46,Inventory!$B$45:$ZZ$45,"&lt;="&amp;EOMONTH('Quarterly PR'!$F$53,-3),Inventory!$B$45:$ZZ$45,"&gt;"&amp;EOMONTH('Quarterly PR'!$F$53,-6))</f>
        <v>0</v>
      </c>
      <c r="L54" s="322">
        <f>SUMIFS(Inventory!$B$53:$ZZ$53,Inventory!$B$52:$ZZ$52,"&lt;="&amp;EOMONTH('Quarterly PR'!$F$53,-3),Inventory!$B$52:$ZZ$52,"&gt;"&amp;EOMONTH('Quarterly PR'!$F$53,-6))</f>
        <v>0</v>
      </c>
      <c r="M54" s="322">
        <f>SUMIFS(Inventory!$B$46:$ZZ$46,Inventory!$B$45:$ZZ$45,"&lt;="&amp;EOMONTH('Quarterly PR'!$F$53,0),Inventory!$B$45:$ZZ$45,"&gt;"&amp;EOMONTH('Quarterly PR'!$F$53,-3))</f>
        <v>0</v>
      </c>
      <c r="N54" s="322">
        <f>SUMIFS(Inventory!$B$53:$ZZ$53,Inventory!$B$52:$ZZ$52,"&lt;="&amp;EOMONTH('Quarterly PR'!$F$53,0),Inventory!$B$52:$ZZ$52,"&gt;"&amp;EOMONTH('Quarterly PR'!$F$53,-3))</f>
        <v>0</v>
      </c>
      <c r="O54" s="274">
        <f>HLOOKUP(O53,'Income Stmt'!$B$22:$ZZ$29,MATCH(O52,'Income Stmt'!$B$22:$B$29,0))</f>
        <v>1673820</v>
      </c>
      <c r="P54" s="274">
        <f>HLOOKUP(P53,'Income Stmt'!$B$22:$ZZ$29,MATCH(P52,'Income Stmt'!$B$22:$B$29,0))</f>
        <v>339762</v>
      </c>
      <c r="Q54" s="274">
        <f>HLOOKUP(Q53,'Income Stmt'!$B$22:$ZZ$29,MATCH(Q52,'Income Stmt'!$B$22:$B$29,0))</f>
        <v>97081</v>
      </c>
      <c r="R54" s="267">
        <f>HLOOKUP(R53,'Income Stmt'!$B$22:$ZZ$29,6)/(HLOOKUP(R53,'Income Stmt'!$B$22:$ZZ$29,4)/HLOOKUP(R53,Inventory!$B$8:$ZZ$11,4))</f>
        <v>1178.4682762359266</v>
      </c>
      <c r="S54" s="267">
        <f>HLOOKUP(S53,'Income Stmt'!$B$22:$ZZ$29,6)/(HLOOKUP(S53,'Income Stmt'!$B$22:$ZZ$29,4)/HLOOKUP(S53,Inventory!$B$8:$ZZ$11,4))</f>
        <v>3325.9580471035611</v>
      </c>
      <c r="T54" s="477">
        <f>U54/S54-1</f>
        <v>0.53659985913452379</v>
      </c>
      <c r="U54" s="267">
        <f>HLOOKUP(U53,Inventory!$B$3:$ZZ$6,4)</f>
        <v>5110.6666666666679</v>
      </c>
      <c r="V54" s="267">
        <f>HLOOKUP(V53,Inventory!$B$8:$ZZ$11,4)</f>
        <v>4334</v>
      </c>
      <c r="W54" s="267">
        <f>IFERROR(U54/12,"-")</f>
        <v>425.88888888888897</v>
      </c>
      <c r="X54" s="267">
        <f>IFERROR(S54/12,"-")</f>
        <v>277.16317059196342</v>
      </c>
      <c r="Y54" s="267">
        <f>HLOOKUP(Y53,Inventory!$B$36:$ZZ$38,2)</f>
        <v>59028</v>
      </c>
      <c r="Z54" s="267">
        <f>HLOOKUP(Z53,Inventory!$B$36:$ZZ$38,3)</f>
        <v>201.00340522133936</v>
      </c>
    </row>
    <row r="55" spans="3:26" ht="13">
      <c r="F55" s="325" t="s">
        <v>414</v>
      </c>
      <c r="O55" s="325" t="s">
        <v>391</v>
      </c>
      <c r="P55" s="325" t="s">
        <v>391</v>
      </c>
      <c r="Q55" s="325" t="s">
        <v>391</v>
      </c>
      <c r="R55" s="325" t="s">
        <v>391</v>
      </c>
      <c r="S55" s="325" t="s">
        <v>391</v>
      </c>
      <c r="T55" s="325" t="s">
        <v>391</v>
      </c>
      <c r="U55" s="325" t="s">
        <v>391</v>
      </c>
      <c r="V55" s="325" t="s">
        <v>391</v>
      </c>
      <c r="W55" s="325" t="s">
        <v>391</v>
      </c>
      <c r="X55" s="325" t="s">
        <v>391</v>
      </c>
      <c r="Y55" s="325" t="s">
        <v>391</v>
      </c>
      <c r="Z55" s="325" t="s">
        <v>391</v>
      </c>
    </row>
  </sheetData>
  <mergeCells count="37">
    <mergeCell ref="AB12:AB13"/>
    <mergeCell ref="AC12:AC13"/>
    <mergeCell ref="AA10:AC10"/>
    <mergeCell ref="B3:U3"/>
    <mergeCell ref="B9:AC9"/>
    <mergeCell ref="E10:Q10"/>
    <mergeCell ref="B12:B13"/>
    <mergeCell ref="C12:C13"/>
    <mergeCell ref="R10:Z10"/>
    <mergeCell ref="R12:R13"/>
    <mergeCell ref="S12:S13"/>
    <mergeCell ref="T12:T13"/>
    <mergeCell ref="U12:U13"/>
    <mergeCell ref="V12:V13"/>
    <mergeCell ref="W12:W13"/>
    <mergeCell ref="X12:X13"/>
    <mergeCell ref="AA12:AA13"/>
    <mergeCell ref="G4:G5"/>
    <mergeCell ref="H4:H5"/>
    <mergeCell ref="I4:J4"/>
    <mergeCell ref="K4:K5"/>
    <mergeCell ref="L4:L5"/>
    <mergeCell ref="M4:N4"/>
    <mergeCell ref="O4:P4"/>
    <mergeCell ref="Q4:R4"/>
    <mergeCell ref="D12:D13"/>
    <mergeCell ref="E4:E5"/>
    <mergeCell ref="O51:Q51"/>
    <mergeCell ref="R51:Z51"/>
    <mergeCell ref="G52:H52"/>
    <mergeCell ref="I52:J52"/>
    <mergeCell ref="K52:L52"/>
    <mergeCell ref="M52:N52"/>
    <mergeCell ref="G51:N51"/>
    <mergeCell ref="F4:F5"/>
    <mergeCell ref="Y12:Y13"/>
    <mergeCell ref="Z12:Z13"/>
  </mergeCells>
  <conditionalFormatting sqref="L6">
    <cfRule type="cellIs" dxfId="0" priority="1" operator="equal">
      <formula>"""Past Due"""</formula>
    </cfRule>
  </conditionalFormatting>
  <pageMargins left="0.1" right="0.1" top="0" bottom="0" header="0.1" footer="0.1"/>
  <pageSetup scale="35" fitToHeight="0"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C3:U12"/>
  <sheetViews>
    <sheetView showGridLines="0" workbookViewId="0">
      <selection activeCell="M6" sqref="M6"/>
    </sheetView>
  </sheetViews>
  <sheetFormatPr defaultColWidth="9.1796875" defaultRowHeight="14"/>
  <cols>
    <col min="1" max="16384" width="9.1796875" style="104"/>
  </cols>
  <sheetData>
    <row r="3" spans="3:21">
      <c r="C3" s="567" t="s">
        <v>415</v>
      </c>
      <c r="D3" s="567"/>
      <c r="E3" s="567" t="s">
        <v>416</v>
      </c>
      <c r="F3" s="567"/>
      <c r="G3" s="567" t="s">
        <v>417</v>
      </c>
      <c r="H3" s="567"/>
      <c r="I3" s="567" t="s">
        <v>53</v>
      </c>
      <c r="J3" s="567" t="s">
        <v>173</v>
      </c>
      <c r="K3" s="567"/>
      <c r="L3" s="628" t="s">
        <v>418</v>
      </c>
      <c r="M3" s="567"/>
      <c r="N3" s="567" t="s">
        <v>419</v>
      </c>
      <c r="O3" s="567"/>
      <c r="P3" s="567" t="s">
        <v>420</v>
      </c>
      <c r="Q3" s="567"/>
      <c r="R3" s="567" t="s">
        <v>300</v>
      </c>
      <c r="S3" s="567" t="s">
        <v>162</v>
      </c>
      <c r="T3" s="567"/>
      <c r="U3" s="567" t="s">
        <v>416</v>
      </c>
    </row>
    <row r="4" spans="3:21">
      <c r="C4" s="567" t="s">
        <v>52</v>
      </c>
      <c r="D4" s="567"/>
      <c r="E4" s="567" t="s">
        <v>421</v>
      </c>
      <c r="F4" s="567"/>
      <c r="G4" s="567" t="s">
        <v>422</v>
      </c>
      <c r="H4" s="567"/>
      <c r="I4" s="567" t="s">
        <v>12</v>
      </c>
      <c r="J4" s="567" t="s">
        <v>175</v>
      </c>
      <c r="K4" s="567"/>
      <c r="L4" s="624" t="s">
        <v>423</v>
      </c>
      <c r="M4" s="567"/>
      <c r="N4" s="567" t="s">
        <v>424</v>
      </c>
      <c r="O4" s="567"/>
      <c r="P4" s="567" t="s">
        <v>419</v>
      </c>
      <c r="Q4" s="567"/>
      <c r="R4" s="567" t="s">
        <v>425</v>
      </c>
      <c r="S4" s="567" t="s">
        <v>164</v>
      </c>
      <c r="T4" s="567"/>
      <c r="U4" s="567" t="s">
        <v>421</v>
      </c>
    </row>
    <row r="5" spans="3:21">
      <c r="C5" s="567" t="s">
        <v>426</v>
      </c>
      <c r="D5" s="567"/>
      <c r="E5" s="567"/>
      <c r="F5" s="567"/>
      <c r="G5" s="567"/>
      <c r="H5" s="567"/>
      <c r="I5" s="567"/>
      <c r="J5" s="567" t="s">
        <v>176</v>
      </c>
      <c r="K5" s="567"/>
      <c r="L5" s="567"/>
      <c r="M5" s="567"/>
      <c r="N5" s="567" t="s">
        <v>427</v>
      </c>
      <c r="O5" s="567"/>
      <c r="P5" s="567" t="s">
        <v>235</v>
      </c>
      <c r="Q5" s="567"/>
      <c r="R5" s="567" t="s">
        <v>428</v>
      </c>
      <c r="S5" s="567" t="s">
        <v>167</v>
      </c>
      <c r="T5" s="567"/>
      <c r="U5" s="567"/>
    </row>
    <row r="6" spans="3:21">
      <c r="C6" s="567"/>
      <c r="D6" s="567"/>
      <c r="E6" s="567"/>
      <c r="F6" s="567"/>
      <c r="G6" s="567"/>
      <c r="H6" s="567"/>
      <c r="I6" s="567"/>
      <c r="J6" s="567" t="s">
        <v>177</v>
      </c>
      <c r="K6" s="567"/>
      <c r="L6" s="567"/>
      <c r="M6" s="567"/>
      <c r="N6" s="567" t="s">
        <v>59</v>
      </c>
      <c r="O6" s="567"/>
      <c r="P6" s="567" t="s">
        <v>88</v>
      </c>
      <c r="Q6" s="567"/>
      <c r="R6" s="567" t="s">
        <v>429</v>
      </c>
      <c r="S6" s="567"/>
      <c r="T6" s="567"/>
      <c r="U6" s="567"/>
    </row>
    <row r="7" spans="3:21">
      <c r="C7" s="567"/>
      <c r="D7" s="567"/>
      <c r="E7" s="567"/>
      <c r="F7" s="567"/>
      <c r="G7" s="567"/>
      <c r="H7" s="567"/>
      <c r="I7" s="567"/>
      <c r="J7" s="567"/>
      <c r="K7" s="567"/>
      <c r="L7" s="567"/>
      <c r="M7" s="567"/>
      <c r="N7" s="567"/>
      <c r="O7" s="567"/>
      <c r="P7" s="567" t="s">
        <v>91</v>
      </c>
      <c r="Q7" s="567"/>
      <c r="R7" s="567"/>
      <c r="S7" s="567"/>
      <c r="T7" s="567"/>
      <c r="U7" s="567"/>
    </row>
    <row r="8" spans="3:21">
      <c r="C8" s="567"/>
      <c r="D8" s="567"/>
      <c r="E8" s="567"/>
      <c r="F8" s="567"/>
      <c r="G8" s="567"/>
      <c r="H8" s="567"/>
      <c r="I8" s="567"/>
      <c r="J8" s="567"/>
      <c r="K8" s="567"/>
      <c r="L8" s="567"/>
      <c r="M8" s="567"/>
      <c r="N8" s="567"/>
      <c r="O8" s="567"/>
      <c r="P8" s="567" t="s">
        <v>95</v>
      </c>
      <c r="Q8" s="567"/>
      <c r="R8" s="567"/>
      <c r="S8" s="567"/>
      <c r="T8" s="567"/>
      <c r="U8" s="567"/>
    </row>
    <row r="9" spans="3:21">
      <c r="C9" s="567"/>
      <c r="D9" s="567"/>
      <c r="E9" s="567"/>
      <c r="F9" s="567"/>
      <c r="G9" s="567"/>
      <c r="H9" s="567"/>
      <c r="I9" s="567"/>
      <c r="J9" s="567"/>
      <c r="K9" s="567"/>
      <c r="L9" s="567"/>
      <c r="M9" s="567"/>
      <c r="N9" s="567"/>
      <c r="O9" s="567"/>
      <c r="P9" s="567" t="s">
        <v>98</v>
      </c>
      <c r="Q9" s="567"/>
      <c r="R9" s="567"/>
      <c r="S9" s="567"/>
      <c r="T9" s="567"/>
      <c r="U9" s="567"/>
    </row>
    <row r="10" spans="3:21">
      <c r="C10" s="567"/>
      <c r="D10" s="567"/>
      <c r="E10" s="567"/>
      <c r="F10" s="567"/>
      <c r="G10" s="567"/>
      <c r="H10" s="567"/>
      <c r="I10" s="567"/>
      <c r="J10" s="567"/>
      <c r="K10" s="567"/>
      <c r="L10" s="567"/>
      <c r="M10" s="567"/>
      <c r="N10" s="567"/>
      <c r="O10" s="567"/>
      <c r="P10" s="567" t="s">
        <v>100</v>
      </c>
      <c r="Q10" s="567"/>
      <c r="R10" s="567"/>
      <c r="S10" s="567"/>
      <c r="T10" s="567"/>
      <c r="U10" s="567"/>
    </row>
    <row r="11" spans="3:21">
      <c r="C11" s="567"/>
      <c r="D11" s="567"/>
      <c r="E11" s="567"/>
      <c r="F11" s="567"/>
      <c r="G11" s="567"/>
      <c r="H11" s="567"/>
      <c r="I11" s="567"/>
      <c r="J11" s="567"/>
      <c r="K11" s="567"/>
      <c r="L11" s="567"/>
      <c r="M11" s="567"/>
      <c r="N11" s="567"/>
      <c r="O11" s="567"/>
      <c r="P11" s="567" t="s">
        <v>430</v>
      </c>
      <c r="Q11" s="567"/>
      <c r="R11" s="567"/>
      <c r="S11" s="567"/>
      <c r="T11" s="567"/>
      <c r="U11" s="567"/>
    </row>
    <row r="12" spans="3:21">
      <c r="C12" s="567"/>
      <c r="D12" s="567"/>
      <c r="E12" s="567"/>
      <c r="F12" s="567"/>
      <c r="G12" s="567"/>
      <c r="H12" s="567"/>
      <c r="I12" s="567"/>
      <c r="J12" s="567"/>
      <c r="K12" s="567"/>
      <c r="L12" s="567"/>
      <c r="M12" s="567"/>
      <c r="N12" s="567"/>
      <c r="O12" s="567"/>
      <c r="P12" s="567" t="s">
        <v>431</v>
      </c>
      <c r="Q12" s="567"/>
      <c r="R12" s="567"/>
      <c r="S12" s="567"/>
      <c r="T12" s="567"/>
      <c r="U12" s="567"/>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4:K16"/>
  <sheetViews>
    <sheetView showGridLines="0" topLeftCell="A22" workbookViewId="0">
      <selection activeCell="P13" sqref="P13"/>
    </sheetView>
  </sheetViews>
  <sheetFormatPr defaultColWidth="9.1796875" defaultRowHeight="14"/>
  <cols>
    <col min="1" max="1" width="9.1796875" style="104"/>
    <col min="2" max="2" width="26.453125" style="104" bestFit="1" customWidth="1"/>
    <col min="3" max="11" width="13.453125" style="104" customWidth="1"/>
    <col min="12" max="16384" width="9.1796875" style="104"/>
  </cols>
  <sheetData>
    <row r="4" spans="2:11">
      <c r="B4" s="245" t="s">
        <v>432</v>
      </c>
      <c r="C4" s="440">
        <f t="shared" ref="C4:E4" si="0">EOMONTH(D4,-3)</f>
        <v>45747</v>
      </c>
      <c r="D4" s="440">
        <f t="shared" si="0"/>
        <v>45838</v>
      </c>
      <c r="E4" s="440">
        <f t="shared" si="0"/>
        <v>45930</v>
      </c>
      <c r="F4" s="440">
        <f>EOMONTH(G4,-3)</f>
        <v>46022</v>
      </c>
      <c r="G4" s="440">
        <f>Summary!K2</f>
        <v>46112</v>
      </c>
      <c r="H4" s="440">
        <f t="shared" ref="H4:K4" si="1">EOMONTH(G4,3)</f>
        <v>46203</v>
      </c>
      <c r="I4" s="440">
        <f t="shared" si="1"/>
        <v>46295</v>
      </c>
      <c r="J4" s="440">
        <f t="shared" si="1"/>
        <v>46387</v>
      </c>
      <c r="K4" s="440">
        <f t="shared" si="1"/>
        <v>46477</v>
      </c>
    </row>
    <row r="5" spans="2:11">
      <c r="B5" s="429" t="s">
        <v>383</v>
      </c>
      <c r="C5" s="430">
        <f>'Balance Sheet'!C11/'Balance Sheet'!C12</f>
        <v>1.5156049783943506</v>
      </c>
      <c r="D5" s="430">
        <f>'Balance Sheet'!D11/'Balance Sheet'!D12</f>
        <v>1.4784981536231114</v>
      </c>
      <c r="E5" s="430">
        <f>'Balance Sheet'!E11/'Balance Sheet'!E12</f>
        <v>1.3508566719391757</v>
      </c>
      <c r="F5" s="430">
        <f>'Balance Sheet'!F11/'Balance Sheet'!F12</f>
        <v>1.3252166810364387</v>
      </c>
      <c r="G5" s="430">
        <f>'Balance Sheet'!G11/'Balance Sheet'!G12</f>
        <v>1.2931072829186854</v>
      </c>
      <c r="H5" s="430">
        <f>'Balance Sheet'!H11/'Balance Sheet'!H12</f>
        <v>1.3245793591254957</v>
      </c>
      <c r="I5" s="430">
        <f>'Balance Sheet'!I11/'Balance Sheet'!I12</f>
        <v>1.2927397068124156</v>
      </c>
      <c r="J5" s="430">
        <f>'Balance Sheet'!J11/'Balance Sheet'!J12</f>
        <v>1.2902112149449014</v>
      </c>
      <c r="K5" s="430">
        <f>'Balance Sheet'!K11/'Balance Sheet'!K12</f>
        <v>1.2045540843448757</v>
      </c>
    </row>
    <row r="6" spans="2:11">
      <c r="B6" s="431" t="s">
        <v>433</v>
      </c>
      <c r="C6" s="427">
        <f>'Balance Sheet'!C11/('Balance Sheet'!C12+'Balance Sheet'!C5)</f>
        <v>1.5944547213540006</v>
      </c>
      <c r="D6" s="427">
        <f>'Balance Sheet'!D11/('Balance Sheet'!D12+'Balance Sheet'!D5)</f>
        <v>1.5501122093300865</v>
      </c>
      <c r="E6" s="427">
        <f>'Balance Sheet'!E11/('Balance Sheet'!E12+'Balance Sheet'!E5)</f>
        <v>1.4075015320908106</v>
      </c>
      <c r="F6" s="427">
        <f>'Balance Sheet'!F11/('Balance Sheet'!F12+'Balance Sheet'!F5)</f>
        <v>1.3753492869836048</v>
      </c>
      <c r="G6" s="427">
        <f>'Balance Sheet'!G11/('Balance Sheet'!G12+'Balance Sheet'!G5)</f>
        <v>1.3383908876605193</v>
      </c>
      <c r="H6" s="427">
        <f>'Balance Sheet'!H11/('Balance Sheet'!H12+'Balance Sheet'!H5)</f>
        <v>1.3686486426629607</v>
      </c>
      <c r="I6" s="427">
        <f>'Balance Sheet'!I11/('Balance Sheet'!I12+'Balance Sheet'!I5)</f>
        <v>1.3321372510733043</v>
      </c>
      <c r="J6" s="427">
        <f>'Balance Sheet'!J11/('Balance Sheet'!J12+'Balance Sheet'!J5)</f>
        <v>1.3325979831054442</v>
      </c>
      <c r="K6" s="427">
        <f>'Balance Sheet'!K11/('Balance Sheet'!K12+'Balance Sheet'!K5)</f>
        <v>1.239852910275268</v>
      </c>
    </row>
    <row r="7" spans="2:11">
      <c r="B7" s="431" t="s">
        <v>434</v>
      </c>
      <c r="C7" s="427">
        <f>'Balance Sheet'!C11/('Balance Sheet'!C12+'Balance Sheet'!C5+'Balance Sheet'!C10)</f>
        <v>1.5944547213540006</v>
      </c>
      <c r="D7" s="427">
        <f>'Balance Sheet'!D11/('Balance Sheet'!D12+'Balance Sheet'!D5+'Balance Sheet'!D10)</f>
        <v>1.5501122093300865</v>
      </c>
      <c r="E7" s="427">
        <f>'Balance Sheet'!E11/('Balance Sheet'!E12+'Balance Sheet'!E5+'Balance Sheet'!E10)</f>
        <v>1.4075015320908106</v>
      </c>
      <c r="F7" s="427">
        <f>'Balance Sheet'!F11/('Balance Sheet'!F12+'Balance Sheet'!F5+'Balance Sheet'!F10)</f>
        <v>1.3753492869836048</v>
      </c>
      <c r="G7" s="427">
        <f>'Balance Sheet'!G11/('Balance Sheet'!G12+'Balance Sheet'!G5+'Balance Sheet'!G10)</f>
        <v>1.3383908876605193</v>
      </c>
      <c r="H7" s="427">
        <f>'Balance Sheet'!H11/('Balance Sheet'!H12+'Balance Sheet'!H5+'Balance Sheet'!H10)</f>
        <v>1.3686486426629607</v>
      </c>
      <c r="I7" s="427">
        <f>'Balance Sheet'!I11/('Balance Sheet'!I12+'Balance Sheet'!I5+'Balance Sheet'!I10)</f>
        <v>1.3321372510733043</v>
      </c>
      <c r="J7" s="427">
        <f>'Balance Sheet'!J11/('Balance Sheet'!J12+'Balance Sheet'!J5+'Balance Sheet'!J10)</f>
        <v>1.3325979831054442</v>
      </c>
      <c r="K7" s="427">
        <f>'Balance Sheet'!K11/('Balance Sheet'!K12+'Balance Sheet'!K5+'Balance Sheet'!K10)</f>
        <v>1.239852910275268</v>
      </c>
    </row>
    <row r="8" spans="2:11">
      <c r="B8" s="432"/>
      <c r="C8" s="432"/>
      <c r="D8" s="432"/>
      <c r="E8" s="432"/>
      <c r="F8" s="432"/>
      <c r="G8" s="432"/>
      <c r="H8" s="432"/>
      <c r="I8" s="432"/>
      <c r="J8" s="432"/>
      <c r="K8" s="432"/>
    </row>
    <row r="9" spans="2:11">
      <c r="B9" s="431" t="s">
        <v>435</v>
      </c>
      <c r="C9" s="428">
        <f>'Balance Sheet'!C6-'Balance Sheet'!C4-'Balance Sheet'!C9</f>
        <v>176335</v>
      </c>
      <c r="D9" s="428">
        <f>'Balance Sheet'!D6-'Balance Sheet'!D4-'Balance Sheet'!D9</f>
        <v>188331</v>
      </c>
      <c r="E9" s="428">
        <f>'Balance Sheet'!E6-'Balance Sheet'!E4-'Balance Sheet'!E9</f>
        <v>220875</v>
      </c>
      <c r="F9" s="428">
        <f>'Balance Sheet'!F6-'Balance Sheet'!F4-'Balance Sheet'!F9</f>
        <v>256275</v>
      </c>
      <c r="G9" s="428">
        <f>'Balance Sheet'!G6-'Balance Sheet'!G4-'Balance Sheet'!G9</f>
        <v>275587</v>
      </c>
      <c r="H9" s="428">
        <f>'Balance Sheet'!H6-'Balance Sheet'!H4-'Balance Sheet'!H9</f>
        <v>341592</v>
      </c>
      <c r="I9" s="428">
        <f>'Balance Sheet'!I6-'Balance Sheet'!I4-'Balance Sheet'!I9</f>
        <v>344803</v>
      </c>
      <c r="J9" s="428">
        <f>'Balance Sheet'!J6-'Balance Sheet'!J4-'Balance Sheet'!J9</f>
        <v>359006</v>
      </c>
      <c r="K9" s="428">
        <f>'Balance Sheet'!K6-'Balance Sheet'!K4-'Balance Sheet'!K9</f>
        <v>553008</v>
      </c>
    </row>
    <row r="10" spans="2:11">
      <c r="B10" s="433" t="s">
        <v>436</v>
      </c>
      <c r="C10" s="434" t="s">
        <v>174</v>
      </c>
      <c r="D10" s="434" t="s">
        <v>174</v>
      </c>
      <c r="E10" s="434" t="s">
        <v>174</v>
      </c>
      <c r="F10" s="434" t="s">
        <v>174</v>
      </c>
      <c r="G10" s="435">
        <f>G9/('Income Stmt'!F23/1000)</f>
        <v>328.73723637751692</v>
      </c>
      <c r="H10" s="435">
        <f>H9/('Income Stmt'!G23/1000)</f>
        <v>407.25444938290445</v>
      </c>
      <c r="I10" s="435">
        <f>I9/('Income Stmt'!H23/1000)</f>
        <v>366.72470254397098</v>
      </c>
      <c r="J10" s="435">
        <f>J9/('Income Stmt'!I23/1000)</f>
        <v>329.41921335272497</v>
      </c>
      <c r="K10" s="435">
        <f>K9/('Income Stmt'!J23/1000)</f>
        <v>439.60698273395019</v>
      </c>
    </row>
    <row r="11" spans="2:11">
      <c r="B11" s="432"/>
      <c r="C11" s="432"/>
      <c r="D11" s="432"/>
      <c r="E11" s="432"/>
      <c r="F11" s="432"/>
      <c r="G11" s="432"/>
      <c r="H11" s="432"/>
      <c r="I11" s="432"/>
      <c r="J11" s="432"/>
      <c r="K11" s="432"/>
    </row>
    <row r="12" spans="2:11">
      <c r="B12" s="431" t="s">
        <v>437</v>
      </c>
      <c r="C12" s="434" t="s">
        <v>174</v>
      </c>
      <c r="D12" s="434" t="s">
        <v>174</v>
      </c>
      <c r="E12" s="434" t="s">
        <v>174</v>
      </c>
      <c r="F12" s="434" t="s">
        <v>174</v>
      </c>
      <c r="G12" s="427">
        <f>('Income Stmt'!F23/1000)/AVERAGE('Balance Sheet'!G23,'Balance Sheet'!C23)</f>
        <v>2.1016293945330861E-3</v>
      </c>
      <c r="H12" s="427">
        <f>('Income Stmt'!G23/1000)/AVERAGE('Balance Sheet'!H23,'Balance Sheet'!D23)</f>
        <v>2.0269521456232668E-3</v>
      </c>
      <c r="I12" s="427">
        <f>('Income Stmt'!H23/1000)/AVERAGE('Balance Sheet'!I23,'Balance Sheet'!E23)</f>
        <v>2.2183049327883257E-3</v>
      </c>
      <c r="J12" s="427">
        <f>('Income Stmt'!I23/1000)/AVERAGE('Balance Sheet'!J23,'Balance Sheet'!F23)</f>
        <v>2.4256247322178761E-3</v>
      </c>
      <c r="K12" s="427">
        <f>('Income Stmt'!J23/1000)/AVERAGE('Balance Sheet'!K23,'Balance Sheet'!G23)</f>
        <v>2.5883604437389211E-3</v>
      </c>
    </row>
    <row r="13" spans="2:11">
      <c r="B13" s="431" t="s">
        <v>438</v>
      </c>
      <c r="C13" s="434" t="s">
        <v>174</v>
      </c>
      <c r="D13" s="434" t="s">
        <v>174</v>
      </c>
      <c r="E13" s="434" t="s">
        <v>174</v>
      </c>
      <c r="F13" s="434" t="s">
        <v>174</v>
      </c>
      <c r="G13" s="436">
        <f>365/G12</f>
        <v>173674.76918121957</v>
      </c>
      <c r="H13" s="436">
        <f>365/H12</f>
        <v>180073.31884382811</v>
      </c>
      <c r="I13" s="436">
        <f>365/I12</f>
        <v>164540.04794607239</v>
      </c>
      <c r="J13" s="436">
        <f>365/J12</f>
        <v>150476.69787991539</v>
      </c>
      <c r="K13" s="436">
        <f>365/K12</f>
        <v>141015.90869344017</v>
      </c>
    </row>
    <row r="14" spans="2:11">
      <c r="B14" s="432"/>
      <c r="C14" s="432"/>
      <c r="D14" s="432"/>
      <c r="E14" s="432"/>
      <c r="F14" s="432"/>
      <c r="G14" s="432"/>
      <c r="H14" s="432"/>
      <c r="I14" s="432"/>
      <c r="J14" s="432"/>
      <c r="K14" s="432"/>
    </row>
    <row r="15" spans="2:11">
      <c r="B15" s="431" t="s">
        <v>439</v>
      </c>
      <c r="C15" s="434" t="s">
        <v>174</v>
      </c>
      <c r="D15" s="434" t="s">
        <v>174</v>
      </c>
      <c r="E15" s="434" t="s">
        <v>174</v>
      </c>
      <c r="F15" s="434" t="s">
        <v>174</v>
      </c>
      <c r="G15" s="435">
        <f>AVERAGE('Balance Sheet'!G12,'Balance Sheet'!C12)/('Income Stmt'!F23/1000)</f>
        <v>359.40333047046471</v>
      </c>
      <c r="H15" s="435">
        <f>AVERAGE('Balance Sheet'!H12,'Balance Sheet'!D12)/('Income Stmt'!G23/1000)</f>
        <v>379.56204814680575</v>
      </c>
      <c r="I15" s="435">
        <f>AVERAGE('Balance Sheet'!I12,'Balance Sheet'!E12)/('Income Stmt'!H23/1000)</f>
        <v>376.1304499039058</v>
      </c>
      <c r="J15" s="435">
        <f>AVERAGE('Balance Sheet'!J12,'Balance Sheet'!F12)/('Income Stmt'!I23/1000)</f>
        <v>356.57841009712655</v>
      </c>
      <c r="K15" s="435">
        <f>AVERAGE('Balance Sheet'!K12,'Balance Sheet'!G12)/('Income Stmt'!J23/1000)</f>
        <v>335.87991669051479</v>
      </c>
    </row>
    <row r="16" spans="2:11">
      <c r="B16" s="437" t="s">
        <v>440</v>
      </c>
      <c r="C16" s="438" t="s">
        <v>174</v>
      </c>
      <c r="D16" s="438" t="s">
        <v>174</v>
      </c>
      <c r="E16" s="438" t="s">
        <v>174</v>
      </c>
      <c r="F16" s="438" t="s">
        <v>174</v>
      </c>
      <c r="G16" s="439">
        <f>AVERAGE('Balance Sheet'!G7,'Balance Sheet'!C7)/('Income Stmt'!F23/1000)</f>
        <v>856.98003149155454</v>
      </c>
      <c r="H16" s="439">
        <f>AVERAGE('Balance Sheet'!H7,'Balance Sheet'!D7)/('Income Stmt'!G23/1000)</f>
        <v>906.4979827556607</v>
      </c>
      <c r="I16" s="439">
        <f>AVERAGE('Balance Sheet'!I7,'Balance Sheet'!E7)/('Income Stmt'!H23/1000)</f>
        <v>871.66980599283363</v>
      </c>
      <c r="J16" s="439">
        <f>AVERAGE('Balance Sheet'!J7,'Balance Sheet'!F7)/('Income Stmt'!I23/1000)</f>
        <v>821.94867936301114</v>
      </c>
      <c r="K16" s="439">
        <f>AVERAGE('Balance Sheet'!K7,'Balance Sheet'!G7)/('Income Stmt'!J23/1000)</f>
        <v>752.96750294127003</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
  <sheetViews>
    <sheetView showGridLines="0" workbookViewId="0">
      <selection activeCell="P30" sqref="P30"/>
    </sheetView>
  </sheetViews>
  <sheetFormatPr defaultRowHeight="14.5"/>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2060"/>
  </sheetPr>
  <dimension ref="A2:ET95"/>
  <sheetViews>
    <sheetView showGridLines="0" workbookViewId="0">
      <pane xSplit="5" topLeftCell="DC1" activePane="topRight" state="frozen"/>
      <selection activeCell="C1" sqref="C1"/>
      <selection pane="topRight" activeCell="C17" sqref="C17"/>
    </sheetView>
  </sheetViews>
  <sheetFormatPr defaultColWidth="10.54296875" defaultRowHeight="13" outlineLevelRow="1"/>
  <cols>
    <col min="1" max="2" width="3.81640625" style="4" hidden="1" customWidth="1"/>
    <col min="3" max="3" width="21.54296875" style="4" customWidth="1"/>
    <col min="4" max="4" width="13.54296875" style="4" customWidth="1"/>
    <col min="5" max="5" width="18.54296875" style="4" customWidth="1"/>
    <col min="6" max="6" width="16" style="4" hidden="1" customWidth="1"/>
    <col min="7" max="7" width="15.453125" style="4" hidden="1" customWidth="1"/>
    <col min="8" max="8" width="17.81640625" style="4" hidden="1" customWidth="1"/>
    <col min="9" max="9" width="14.81640625" style="4" hidden="1" customWidth="1"/>
    <col min="10" max="10" width="18.453125" style="4" hidden="1" customWidth="1"/>
    <col min="11" max="11" width="18.1796875" style="4" hidden="1" customWidth="1"/>
    <col min="12" max="18" width="13" style="4" hidden="1" customWidth="1"/>
    <col min="19" max="27" width="0" style="4" hidden="1" customWidth="1"/>
    <col min="28" max="28" width="11" style="4" hidden="1" customWidth="1"/>
    <col min="29" max="94" width="0" style="4" hidden="1" customWidth="1"/>
    <col min="95" max="95" width="12.453125" style="4" hidden="1" customWidth="1"/>
    <col min="96" max="101" width="0" style="4" hidden="1" customWidth="1"/>
    <col min="102" max="104" width="10.54296875" style="4"/>
    <col min="105" max="105" width="12" style="4" bestFit="1" customWidth="1"/>
    <col min="106" max="111" width="10.54296875" style="4"/>
    <col min="112" max="112" width="12" style="4" bestFit="1" customWidth="1"/>
    <col min="113" max="116" width="10.54296875" style="4"/>
    <col min="117" max="117" width="12.453125" style="4" bestFit="1" customWidth="1"/>
    <col min="118" max="16384" width="10.54296875" style="4"/>
  </cols>
  <sheetData>
    <row r="2" spans="3:150" ht="12.75" customHeight="1">
      <c r="C2" s="740" t="s">
        <v>145</v>
      </c>
      <c r="D2" s="741"/>
      <c r="E2" s="741"/>
      <c r="F2" s="741"/>
      <c r="G2" s="741"/>
      <c r="H2" s="741"/>
      <c r="I2" s="741"/>
      <c r="J2" s="741"/>
      <c r="K2" s="741"/>
      <c r="L2" s="741"/>
      <c r="M2" s="741"/>
      <c r="N2" s="742"/>
      <c r="O2" s="162"/>
      <c r="P2" s="162"/>
      <c r="Q2" s="162"/>
      <c r="R2" s="162"/>
      <c r="S2" s="162"/>
      <c r="T2" s="162"/>
      <c r="U2" s="162"/>
      <c r="V2" s="162"/>
      <c r="W2" s="162"/>
      <c r="X2" s="162"/>
      <c r="Y2" s="162"/>
      <c r="Z2" s="162"/>
      <c r="AA2" s="162"/>
      <c r="AB2" s="162"/>
      <c r="AC2" s="111" t="s">
        <v>146</v>
      </c>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62"/>
    </row>
    <row r="3" spans="3:150" ht="14">
      <c r="C3" s="743"/>
      <c r="D3" s="744"/>
      <c r="E3" s="744"/>
      <c r="F3" s="744"/>
      <c r="G3" s="744"/>
      <c r="H3" s="744"/>
      <c r="I3" s="744"/>
      <c r="J3" s="744"/>
      <c r="K3" s="744"/>
      <c r="L3" s="744"/>
      <c r="M3" s="744"/>
      <c r="N3" s="745"/>
      <c r="O3" s="162"/>
      <c r="P3" s="162"/>
      <c r="Q3" s="275"/>
      <c r="R3" s="162"/>
      <c r="S3" s="162"/>
      <c r="T3" s="162"/>
      <c r="U3" s="162"/>
      <c r="V3" s="162"/>
      <c r="W3" s="162"/>
      <c r="X3" s="162"/>
      <c r="Y3" s="162"/>
      <c r="Z3" s="162"/>
      <c r="AA3" s="162"/>
      <c r="AB3" s="162"/>
      <c r="AC3" s="111" t="s">
        <v>147</v>
      </c>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62"/>
    </row>
    <row r="4" spans="3:150">
      <c r="C4" s="743"/>
      <c r="D4" s="744"/>
      <c r="E4" s="744"/>
      <c r="F4" s="744"/>
      <c r="G4" s="744"/>
      <c r="H4" s="744"/>
      <c r="I4" s="744"/>
      <c r="J4" s="744"/>
      <c r="K4" s="744"/>
      <c r="L4" s="744"/>
      <c r="M4" s="744"/>
      <c r="N4" s="745"/>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c r="BC4" s="162"/>
      <c r="BD4" s="162"/>
      <c r="BE4" s="162"/>
      <c r="BF4" s="162"/>
      <c r="BG4" s="162"/>
      <c r="BH4" s="162"/>
      <c r="BI4" s="162"/>
      <c r="BJ4" s="162"/>
      <c r="BK4" s="162"/>
      <c r="BL4" s="162"/>
      <c r="BM4" s="162"/>
      <c r="BN4" s="162"/>
      <c r="BO4" s="162"/>
      <c r="BP4" s="162"/>
      <c r="BQ4" s="162"/>
      <c r="BR4" s="162"/>
      <c r="BS4" s="162"/>
      <c r="BT4" s="162"/>
      <c r="BU4" s="162"/>
      <c r="BV4" s="162"/>
      <c r="BW4" s="162"/>
      <c r="BX4" s="162"/>
      <c r="BY4" s="162"/>
      <c r="BZ4" s="162"/>
      <c r="CA4" s="162"/>
    </row>
    <row r="5" spans="3:150" ht="24" customHeight="1">
      <c r="C5" s="746"/>
      <c r="D5" s="747"/>
      <c r="E5" s="747"/>
      <c r="F5" s="747"/>
      <c r="G5" s="747"/>
      <c r="H5" s="747"/>
      <c r="I5" s="747"/>
      <c r="J5" s="747"/>
      <c r="K5" s="747"/>
      <c r="L5" s="747"/>
      <c r="M5" s="747"/>
      <c r="N5" s="748"/>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row>
    <row r="7" spans="3:150">
      <c r="C7" s="442" t="s">
        <v>148</v>
      </c>
      <c r="D7" s="441"/>
      <c r="E7" s="441"/>
      <c r="F7" s="441"/>
      <c r="G7" s="441"/>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41"/>
      <c r="BR7" s="441"/>
      <c r="BS7" s="441"/>
      <c r="BT7" s="441"/>
      <c r="BU7" s="441"/>
      <c r="BV7" s="441"/>
      <c r="BW7" s="441"/>
      <c r="BX7" s="441"/>
      <c r="BY7" s="441"/>
      <c r="BZ7" s="441"/>
      <c r="CA7" s="441"/>
      <c r="CB7" s="441"/>
      <c r="CC7" s="441"/>
      <c r="CD7" s="441"/>
      <c r="CE7" s="441"/>
      <c r="CF7" s="441"/>
      <c r="CG7" s="441"/>
      <c r="CH7" s="441"/>
      <c r="CI7" s="441"/>
      <c r="CJ7" s="441"/>
      <c r="CK7" s="441"/>
      <c r="CL7" s="441"/>
      <c r="CM7" s="441"/>
      <c r="CN7" s="441"/>
      <c r="CO7" s="441"/>
      <c r="CP7" s="441"/>
      <c r="CQ7" s="441"/>
      <c r="CR7" s="441"/>
      <c r="CS7" s="441"/>
      <c r="CT7" s="441"/>
      <c r="CU7" s="441"/>
      <c r="CV7" s="441"/>
      <c r="CW7" s="441"/>
      <c r="CX7" s="441"/>
      <c r="CY7" s="441"/>
      <c r="CZ7" s="441"/>
      <c r="DA7" s="441"/>
      <c r="DB7" s="441"/>
      <c r="DC7" s="441"/>
      <c r="DD7" s="441"/>
      <c r="DE7" s="441"/>
      <c r="DF7" s="441"/>
      <c r="DG7" s="441"/>
      <c r="DH7" s="441"/>
      <c r="DI7" s="441"/>
      <c r="DJ7" s="441"/>
      <c r="DK7" s="441"/>
      <c r="DL7" s="441"/>
      <c r="DM7" s="441"/>
      <c r="DN7" s="441"/>
      <c r="DO7" s="441"/>
      <c r="DP7" s="441"/>
      <c r="DQ7" s="441"/>
      <c r="DR7" s="441"/>
      <c r="DS7" s="441"/>
      <c r="DT7" s="441"/>
      <c r="DU7" s="441"/>
      <c r="DV7" s="441"/>
      <c r="DW7" s="441"/>
      <c r="DX7" s="441"/>
      <c r="DY7" s="441"/>
      <c r="DZ7" s="441"/>
      <c r="EA7" s="441"/>
      <c r="EB7" s="441"/>
      <c r="EC7" s="441"/>
      <c r="ED7" s="441"/>
      <c r="EE7" s="441"/>
      <c r="EF7" s="441"/>
      <c r="EG7" s="441"/>
      <c r="EH7" s="441"/>
      <c r="EI7" s="441"/>
      <c r="EJ7" s="441"/>
      <c r="EK7" s="441"/>
      <c r="EL7" s="441"/>
      <c r="EM7" s="441"/>
      <c r="EN7" s="441"/>
      <c r="EO7" s="441"/>
      <c r="EP7" s="441"/>
      <c r="EQ7" s="441"/>
      <c r="ER7" s="441"/>
      <c r="ES7" s="441"/>
      <c r="ET7" s="441"/>
    </row>
    <row r="8" spans="3:150">
      <c r="C8" s="444"/>
      <c r="D8" s="443"/>
      <c r="E8" s="445"/>
      <c r="F8" s="534">
        <v>42735</v>
      </c>
      <c r="G8" s="447">
        <f>EOMONTH(F8,1)</f>
        <v>42766</v>
      </c>
      <c r="H8" s="448">
        <f t="shared" ref="H8:AC8" si="0">EOMONTH(G8,1)</f>
        <v>42794</v>
      </c>
      <c r="I8" s="449">
        <f t="shared" si="0"/>
        <v>42825</v>
      </c>
      <c r="J8" s="450">
        <f t="shared" si="0"/>
        <v>42855</v>
      </c>
      <c r="K8" s="450">
        <f t="shared" si="0"/>
        <v>42886</v>
      </c>
      <c r="L8" s="450">
        <f t="shared" si="0"/>
        <v>42916</v>
      </c>
      <c r="M8" s="448">
        <f t="shared" si="0"/>
        <v>42947</v>
      </c>
      <c r="N8" s="449">
        <f t="shared" si="0"/>
        <v>42978</v>
      </c>
      <c r="O8" s="450">
        <f t="shared" si="0"/>
        <v>43008</v>
      </c>
      <c r="P8" s="450">
        <f t="shared" si="0"/>
        <v>43039</v>
      </c>
      <c r="Q8" s="450">
        <f t="shared" si="0"/>
        <v>43069</v>
      </c>
      <c r="R8" s="450">
        <f t="shared" si="0"/>
        <v>43100</v>
      </c>
      <c r="S8" s="450">
        <f t="shared" si="0"/>
        <v>43131</v>
      </c>
      <c r="T8" s="448">
        <f t="shared" si="0"/>
        <v>43159</v>
      </c>
      <c r="U8" s="449">
        <f t="shared" si="0"/>
        <v>43190</v>
      </c>
      <c r="V8" s="448">
        <f t="shared" si="0"/>
        <v>43220</v>
      </c>
      <c r="W8" s="449">
        <f t="shared" si="0"/>
        <v>43251</v>
      </c>
      <c r="X8" s="448">
        <f t="shared" si="0"/>
        <v>43281</v>
      </c>
      <c r="Y8" s="448">
        <f t="shared" si="0"/>
        <v>43312</v>
      </c>
      <c r="Z8" s="449">
        <f t="shared" si="0"/>
        <v>43343</v>
      </c>
      <c r="AA8" s="448">
        <f t="shared" si="0"/>
        <v>43373</v>
      </c>
      <c r="AB8" s="449">
        <f t="shared" si="0"/>
        <v>43404</v>
      </c>
      <c r="AC8" s="448">
        <f t="shared" si="0"/>
        <v>43434</v>
      </c>
      <c r="AD8" s="449">
        <f t="shared" ref="AD8" si="1">EOMONTH(AC8,1)</f>
        <v>43465</v>
      </c>
      <c r="AE8" s="448">
        <f>EOMONTH(AD8,1)</f>
        <v>43496</v>
      </c>
      <c r="AF8" s="448">
        <f t="shared" ref="AF8:AP8" si="2">EOMONTH(AE8,1)</f>
        <v>43524</v>
      </c>
      <c r="AG8" s="448">
        <f t="shared" si="2"/>
        <v>43555</v>
      </c>
      <c r="AH8" s="448">
        <f t="shared" si="2"/>
        <v>43585</v>
      </c>
      <c r="AI8" s="448">
        <f t="shared" si="2"/>
        <v>43616</v>
      </c>
      <c r="AJ8" s="448">
        <f t="shared" si="2"/>
        <v>43646</v>
      </c>
      <c r="AK8" s="448">
        <f t="shared" si="2"/>
        <v>43677</v>
      </c>
      <c r="AL8" s="448">
        <f t="shared" si="2"/>
        <v>43708</v>
      </c>
      <c r="AM8" s="448">
        <f t="shared" si="2"/>
        <v>43738</v>
      </c>
      <c r="AN8" s="448">
        <f t="shared" si="2"/>
        <v>43769</v>
      </c>
      <c r="AO8" s="448">
        <f t="shared" si="2"/>
        <v>43799</v>
      </c>
      <c r="AP8" s="448">
        <f t="shared" si="2"/>
        <v>43830</v>
      </c>
      <c r="AQ8" s="448">
        <f t="shared" ref="AQ8" si="3">EOMONTH(AP8,1)</f>
        <v>43861</v>
      </c>
      <c r="AR8" s="448">
        <f t="shared" ref="AR8" si="4">EOMONTH(AQ8,1)</f>
        <v>43890</v>
      </c>
      <c r="AS8" s="448">
        <f t="shared" ref="AS8" si="5">EOMONTH(AR8,1)</f>
        <v>43921</v>
      </c>
      <c r="AT8" s="448">
        <f t="shared" ref="AT8" si="6">EOMONTH(AS8,1)</f>
        <v>43951</v>
      </c>
      <c r="AU8" s="448">
        <f t="shared" ref="AU8" si="7">EOMONTH(AT8,1)</f>
        <v>43982</v>
      </c>
      <c r="AV8" s="448">
        <f t="shared" ref="AV8" si="8">EOMONTH(AU8,1)</f>
        <v>44012</v>
      </c>
      <c r="AW8" s="448">
        <f t="shared" ref="AW8" si="9">EOMONTH(AV8,1)</f>
        <v>44043</v>
      </c>
      <c r="AX8" s="448">
        <f t="shared" ref="AX8" si="10">EOMONTH(AW8,1)</f>
        <v>44074</v>
      </c>
      <c r="AY8" s="448">
        <f t="shared" ref="AY8" si="11">EOMONTH(AX8,1)</f>
        <v>44104</v>
      </c>
      <c r="AZ8" s="448">
        <f t="shared" ref="AZ8" si="12">EOMONTH(AY8,1)</f>
        <v>44135</v>
      </c>
      <c r="BA8" s="448">
        <f t="shared" ref="BA8" si="13">EOMONTH(AZ8,1)</f>
        <v>44165</v>
      </c>
      <c r="BB8" s="448">
        <f t="shared" ref="BB8" si="14">EOMONTH(BA8,1)</f>
        <v>44196</v>
      </c>
      <c r="BC8" s="448">
        <f t="shared" ref="BC8" si="15">EOMONTH(BB8,1)</f>
        <v>44227</v>
      </c>
      <c r="BD8" s="448">
        <f t="shared" ref="BD8" si="16">EOMONTH(BC8,1)</f>
        <v>44255</v>
      </c>
      <c r="BE8" s="448">
        <f t="shared" ref="BE8" si="17">EOMONTH(BD8,1)</f>
        <v>44286</v>
      </c>
      <c r="BF8" s="448">
        <f t="shared" ref="BF8" si="18">EOMONTH(BE8,1)</f>
        <v>44316</v>
      </c>
      <c r="BG8" s="448">
        <f t="shared" ref="BG8" si="19">EOMONTH(BF8,1)</f>
        <v>44347</v>
      </c>
      <c r="BH8" s="448">
        <f t="shared" ref="BH8" si="20">EOMONTH(BG8,1)</f>
        <v>44377</v>
      </c>
      <c r="BI8" s="448">
        <f t="shared" ref="BI8" si="21">EOMONTH(BH8,1)</f>
        <v>44408</v>
      </c>
      <c r="BJ8" s="448">
        <f t="shared" ref="BJ8" si="22">EOMONTH(BI8,1)</f>
        <v>44439</v>
      </c>
      <c r="BK8" s="448">
        <f t="shared" ref="BK8" si="23">EOMONTH(BJ8,1)</f>
        <v>44469</v>
      </c>
      <c r="BL8" s="448">
        <f t="shared" ref="BL8" si="24">EOMONTH(BK8,1)</f>
        <v>44500</v>
      </c>
      <c r="BM8" s="448">
        <f t="shared" ref="BM8" si="25">EOMONTH(BL8,1)</f>
        <v>44530</v>
      </c>
      <c r="BN8" s="448">
        <f t="shared" ref="BN8" si="26">EOMONTH(BM8,1)</f>
        <v>44561</v>
      </c>
      <c r="BO8" s="448">
        <f t="shared" ref="BO8" si="27">EOMONTH(BN8,1)</f>
        <v>44592</v>
      </c>
      <c r="BP8" s="448">
        <f t="shared" ref="BP8" si="28">EOMONTH(BO8,1)</f>
        <v>44620</v>
      </c>
      <c r="BQ8" s="448">
        <f t="shared" ref="BQ8" si="29">EOMONTH(BP8,1)</f>
        <v>44651</v>
      </c>
      <c r="BR8" s="448">
        <f t="shared" ref="BR8" si="30">EOMONTH(BQ8,1)</f>
        <v>44681</v>
      </c>
      <c r="BS8" s="448">
        <f t="shared" ref="BS8" si="31">EOMONTH(BR8,1)</f>
        <v>44712</v>
      </c>
      <c r="BT8" s="448">
        <f t="shared" ref="BT8" si="32">EOMONTH(BS8,1)</f>
        <v>44742</v>
      </c>
      <c r="BU8" s="448">
        <f t="shared" ref="BU8" si="33">EOMONTH(BT8,1)</f>
        <v>44773</v>
      </c>
      <c r="BV8" s="448">
        <f t="shared" ref="BV8" si="34">EOMONTH(BU8,1)</f>
        <v>44804</v>
      </c>
      <c r="BW8" s="448">
        <f t="shared" ref="BW8" si="35">EOMONTH(BV8,1)</f>
        <v>44834</v>
      </c>
      <c r="BX8" s="448">
        <f t="shared" ref="BX8" si="36">EOMONTH(BW8,1)</f>
        <v>44865</v>
      </c>
      <c r="BY8" s="448">
        <f t="shared" ref="BY8" si="37">EOMONTH(BX8,1)</f>
        <v>44895</v>
      </c>
      <c r="BZ8" s="448">
        <f t="shared" ref="BZ8" si="38">EOMONTH(BY8,1)</f>
        <v>44926</v>
      </c>
      <c r="CA8" s="448">
        <f t="shared" ref="CA8" si="39">EOMONTH(BZ8,1)</f>
        <v>44957</v>
      </c>
      <c r="CB8" s="448">
        <f t="shared" ref="CB8" si="40">EOMONTH(CA8,1)</f>
        <v>44985</v>
      </c>
      <c r="CC8" s="448">
        <f t="shared" ref="CC8" si="41">EOMONTH(CB8,1)</f>
        <v>45016</v>
      </c>
      <c r="CD8" s="448">
        <f t="shared" ref="CD8" si="42">EOMONTH(CC8,1)</f>
        <v>45046</v>
      </c>
      <c r="CE8" s="448">
        <f t="shared" ref="CE8" si="43">EOMONTH(CD8,1)</f>
        <v>45077</v>
      </c>
      <c r="CF8" s="448">
        <f t="shared" ref="CF8" si="44">EOMONTH(CE8,1)</f>
        <v>45107</v>
      </c>
      <c r="CG8" s="448">
        <f t="shared" ref="CG8" si="45">EOMONTH(CF8,1)</f>
        <v>45138</v>
      </c>
      <c r="CH8" s="448">
        <f t="shared" ref="CH8" si="46">EOMONTH(CG8,1)</f>
        <v>45169</v>
      </c>
      <c r="CI8" s="448">
        <f t="shared" ref="CI8" si="47">EOMONTH(CH8,1)</f>
        <v>45199</v>
      </c>
      <c r="CJ8" s="448">
        <f t="shared" ref="CJ8" si="48">EOMONTH(CI8,1)</f>
        <v>45230</v>
      </c>
      <c r="CK8" s="448">
        <f t="shared" ref="CK8" si="49">EOMONTH(CJ8,1)</f>
        <v>45260</v>
      </c>
      <c r="CL8" s="448">
        <f t="shared" ref="CL8" si="50">EOMONTH(CK8,1)</f>
        <v>45291</v>
      </c>
      <c r="CM8" s="448">
        <f t="shared" ref="CM8" si="51">EOMONTH(CL8,1)</f>
        <v>45322</v>
      </c>
      <c r="CN8" s="448">
        <f t="shared" ref="CN8" si="52">EOMONTH(CM8,1)</f>
        <v>45351</v>
      </c>
      <c r="CO8" s="448">
        <f t="shared" ref="CO8" si="53">EOMONTH(CN8,1)</f>
        <v>45382</v>
      </c>
      <c r="CP8" s="448">
        <f t="shared" ref="CP8" si="54">EOMONTH(CO8,1)</f>
        <v>45412</v>
      </c>
      <c r="CQ8" s="448">
        <f t="shared" ref="CQ8" si="55">EOMONTH(CP8,1)</f>
        <v>45443</v>
      </c>
      <c r="CR8" s="448">
        <f t="shared" ref="CR8" si="56">EOMONTH(CQ8,1)</f>
        <v>45473</v>
      </c>
      <c r="CS8" s="448">
        <f t="shared" ref="CS8" si="57">EOMONTH(CR8,1)</f>
        <v>45504</v>
      </c>
      <c r="CT8" s="448">
        <f t="shared" ref="CT8" si="58">EOMONTH(CS8,1)</f>
        <v>45535</v>
      </c>
      <c r="CU8" s="448">
        <f t="shared" ref="CU8" si="59">EOMONTH(CT8,1)</f>
        <v>45565</v>
      </c>
      <c r="CV8" s="448">
        <f t="shared" ref="CV8" si="60">EOMONTH(CU8,1)</f>
        <v>45596</v>
      </c>
      <c r="CW8" s="448">
        <f t="shared" ref="CW8" si="61">EOMONTH(CV8,1)</f>
        <v>45626</v>
      </c>
      <c r="CX8" s="448">
        <f t="shared" ref="CX8" si="62">EOMONTH(CW8,1)</f>
        <v>45657</v>
      </c>
      <c r="CY8" s="448">
        <f t="shared" ref="CY8" si="63">EOMONTH(CX8,1)</f>
        <v>45688</v>
      </c>
      <c r="CZ8" s="448">
        <f t="shared" ref="CZ8" si="64">EOMONTH(CY8,1)</f>
        <v>45716</v>
      </c>
      <c r="DA8" s="448">
        <f t="shared" ref="DA8" si="65">EOMONTH(CZ8,1)</f>
        <v>45747</v>
      </c>
      <c r="DB8" s="448">
        <f t="shared" ref="DB8" si="66">EOMONTH(DA8,1)</f>
        <v>45777</v>
      </c>
      <c r="DC8" s="448">
        <f t="shared" ref="DC8" si="67">EOMONTH(DB8,1)</f>
        <v>45808</v>
      </c>
      <c r="DD8" s="448">
        <f t="shared" ref="DD8" si="68">EOMONTH(DC8,1)</f>
        <v>45838</v>
      </c>
      <c r="DE8" s="448">
        <f t="shared" ref="DE8" si="69">EOMONTH(DD8,1)</f>
        <v>45869</v>
      </c>
      <c r="DF8" s="448">
        <f t="shared" ref="DF8" si="70">EOMONTH(DE8,1)</f>
        <v>45900</v>
      </c>
      <c r="DG8" s="448">
        <f t="shared" ref="DG8" si="71">EOMONTH(DF8,1)</f>
        <v>45930</v>
      </c>
      <c r="DH8" s="448">
        <f t="shared" ref="DH8" si="72">EOMONTH(DG8,1)</f>
        <v>45961</v>
      </c>
      <c r="DI8" s="448">
        <f t="shared" ref="DI8" si="73">EOMONTH(DH8,1)</f>
        <v>45991</v>
      </c>
      <c r="DJ8" s="448">
        <f t="shared" ref="DJ8" si="74">EOMONTH(DI8,1)</f>
        <v>46022</v>
      </c>
      <c r="DK8" s="448">
        <f t="shared" ref="DK8" si="75">EOMONTH(DJ8,1)</f>
        <v>46053</v>
      </c>
      <c r="DL8" s="448">
        <f t="shared" ref="DL8" si="76">EOMONTH(DK8,1)</f>
        <v>46081</v>
      </c>
      <c r="DM8" s="448">
        <f t="shared" ref="DM8" si="77">EOMONTH(DL8,1)</f>
        <v>46112</v>
      </c>
      <c r="DN8" s="448">
        <f t="shared" ref="DN8" si="78">EOMONTH(DM8,1)</f>
        <v>46142</v>
      </c>
      <c r="DO8" s="448">
        <f t="shared" ref="DO8" si="79">EOMONTH(DN8,1)</f>
        <v>46173</v>
      </c>
      <c r="DP8" s="448">
        <f t="shared" ref="DP8" si="80">EOMONTH(DO8,1)</f>
        <v>46203</v>
      </c>
      <c r="DQ8" s="448">
        <f t="shared" ref="DQ8" si="81">EOMONTH(DP8,1)</f>
        <v>46234</v>
      </c>
      <c r="DR8" s="448">
        <f t="shared" ref="DR8" si="82">EOMONTH(DQ8,1)</f>
        <v>46265</v>
      </c>
      <c r="DS8" s="448">
        <f t="shared" ref="DS8" si="83">EOMONTH(DR8,1)</f>
        <v>46295</v>
      </c>
      <c r="DT8" s="448">
        <f t="shared" ref="DT8" si="84">EOMONTH(DS8,1)</f>
        <v>46326</v>
      </c>
      <c r="DU8" s="448">
        <f t="shared" ref="DU8" si="85">EOMONTH(DT8,1)</f>
        <v>46356</v>
      </c>
      <c r="DV8" s="448">
        <f t="shared" ref="DV8" si="86">EOMONTH(DU8,1)</f>
        <v>46387</v>
      </c>
      <c r="DW8" s="448">
        <f t="shared" ref="DW8" si="87">EOMONTH(DV8,1)</f>
        <v>46418</v>
      </c>
      <c r="DX8" s="448">
        <f t="shared" ref="DX8" si="88">EOMONTH(DW8,1)</f>
        <v>46446</v>
      </c>
      <c r="DY8" s="448">
        <f t="shared" ref="DY8" si="89">EOMONTH(DX8,1)</f>
        <v>46477</v>
      </c>
      <c r="DZ8" s="448">
        <f t="shared" ref="DZ8" si="90">EOMONTH(DY8,1)</f>
        <v>46507</v>
      </c>
      <c r="EA8" s="448">
        <f t="shared" ref="EA8" si="91">EOMONTH(DZ8,1)</f>
        <v>46538</v>
      </c>
      <c r="EB8" s="448">
        <f t="shared" ref="EB8" si="92">EOMONTH(EA8,1)</f>
        <v>46568</v>
      </c>
      <c r="EC8" s="448">
        <f t="shared" ref="EC8" si="93">EOMONTH(EB8,1)</f>
        <v>46599</v>
      </c>
      <c r="ED8" s="448">
        <f t="shared" ref="ED8" si="94">EOMONTH(EC8,1)</f>
        <v>46630</v>
      </c>
      <c r="EE8" s="448">
        <f t="shared" ref="EE8" si="95">EOMONTH(ED8,1)</f>
        <v>46660</v>
      </c>
      <c r="EF8" s="448">
        <f t="shared" ref="EF8" si="96">EOMONTH(EE8,1)</f>
        <v>46691</v>
      </c>
      <c r="EG8" s="448">
        <f t="shared" ref="EG8" si="97">EOMONTH(EF8,1)</f>
        <v>46721</v>
      </c>
      <c r="EH8" s="448">
        <f t="shared" ref="EH8" si="98">EOMONTH(EG8,1)</f>
        <v>46752</v>
      </c>
      <c r="EI8" s="448">
        <f t="shared" ref="EI8" si="99">EOMONTH(EH8,1)</f>
        <v>46783</v>
      </c>
      <c r="EJ8" s="448">
        <f t="shared" ref="EJ8" si="100">EOMONTH(EI8,1)</f>
        <v>46812</v>
      </c>
      <c r="EK8" s="448">
        <f t="shared" ref="EK8" si="101">EOMONTH(EJ8,1)</f>
        <v>46843</v>
      </c>
      <c r="EL8" s="448">
        <f t="shared" ref="EL8" si="102">EOMONTH(EK8,1)</f>
        <v>46873</v>
      </c>
      <c r="EM8" s="448">
        <f t="shared" ref="EM8" si="103">EOMONTH(EL8,1)</f>
        <v>46904</v>
      </c>
      <c r="EN8" s="448">
        <f t="shared" ref="EN8" si="104">EOMONTH(EM8,1)</f>
        <v>46934</v>
      </c>
      <c r="EO8" s="448">
        <f t="shared" ref="EO8" si="105">EOMONTH(EN8,1)</f>
        <v>46965</v>
      </c>
      <c r="EP8" s="448">
        <f t="shared" ref="EP8" si="106">EOMONTH(EO8,1)</f>
        <v>46996</v>
      </c>
      <c r="EQ8" s="448">
        <f t="shared" ref="EQ8" si="107">EOMONTH(EP8,1)</f>
        <v>47026</v>
      </c>
      <c r="ER8" s="448">
        <f t="shared" ref="ER8" si="108">EOMONTH(EQ8,1)</f>
        <v>47057</v>
      </c>
      <c r="ES8" s="448">
        <f t="shared" ref="ES8" si="109">EOMONTH(ER8,1)</f>
        <v>47087</v>
      </c>
      <c r="ET8" s="448">
        <f t="shared" ref="ET8" si="110">EOMONTH(ES8,1)</f>
        <v>47118</v>
      </c>
    </row>
    <row r="9" spans="3:150" ht="15" customHeight="1">
      <c r="C9" s="775" t="s">
        <v>442</v>
      </c>
      <c r="D9" s="776"/>
      <c r="E9" s="283" t="s">
        <v>149</v>
      </c>
      <c r="F9" s="446">
        <v>0</v>
      </c>
      <c r="G9" s="446">
        <v>50000000</v>
      </c>
      <c r="H9" s="446">
        <v>50000000</v>
      </c>
      <c r="I9" s="446">
        <v>50000000</v>
      </c>
      <c r="J9" s="446">
        <v>50000000</v>
      </c>
      <c r="K9" s="446">
        <v>50000000</v>
      </c>
      <c r="L9" s="446">
        <v>50000000</v>
      </c>
      <c r="M9" s="446">
        <v>50000000</v>
      </c>
      <c r="N9" s="446">
        <v>50000000</v>
      </c>
      <c r="O9" s="446">
        <v>50000000</v>
      </c>
      <c r="P9" s="446">
        <v>50000000</v>
      </c>
      <c r="Q9" s="446">
        <v>50000000</v>
      </c>
      <c r="R9" s="446">
        <v>50000000</v>
      </c>
      <c r="S9" s="446">
        <v>50000000</v>
      </c>
      <c r="T9" s="446">
        <v>50000000</v>
      </c>
      <c r="U9" s="446">
        <v>50000000</v>
      </c>
      <c r="V9" s="446">
        <v>50000000</v>
      </c>
      <c r="W9" s="446">
        <v>50000000</v>
      </c>
      <c r="X9" s="146">
        <v>50000000</v>
      </c>
      <c r="Y9" s="146">
        <v>30000000</v>
      </c>
      <c r="Z9" s="146">
        <v>30000000</v>
      </c>
      <c r="AA9" s="146">
        <v>30000000</v>
      </c>
      <c r="AB9" s="146">
        <v>34350000</v>
      </c>
      <c r="AC9" s="146">
        <v>34350000</v>
      </c>
      <c r="AD9" s="146">
        <v>34350000</v>
      </c>
      <c r="AE9" s="146">
        <v>34350000</v>
      </c>
      <c r="AF9" s="146">
        <v>34350000</v>
      </c>
      <c r="AG9" s="146">
        <v>34350000</v>
      </c>
      <c r="AH9" s="146">
        <v>34350000</v>
      </c>
      <c r="AI9" s="146">
        <v>34350000</v>
      </c>
      <c r="AJ9" s="146">
        <v>40000000</v>
      </c>
      <c r="AK9" s="146">
        <v>40000000</v>
      </c>
      <c r="AL9" s="146">
        <v>40000000</v>
      </c>
      <c r="AM9" s="146">
        <v>40000000</v>
      </c>
      <c r="AN9" s="146">
        <v>40000000</v>
      </c>
      <c r="AO9" s="146">
        <v>40000000</v>
      </c>
      <c r="AP9" s="146">
        <v>46000000</v>
      </c>
      <c r="AQ9" s="146">
        <v>46000000</v>
      </c>
      <c r="AR9" s="146">
        <v>46000000</v>
      </c>
      <c r="AS9" s="146">
        <v>46000000</v>
      </c>
      <c r="AT9" s="146">
        <v>46000000</v>
      </c>
      <c r="AU9" s="146">
        <v>46000000</v>
      </c>
      <c r="AV9" s="146">
        <v>46000000</v>
      </c>
      <c r="AW9" s="146">
        <v>46000000</v>
      </c>
      <c r="AX9" s="146">
        <v>46000000</v>
      </c>
      <c r="AY9" s="146">
        <v>46000000</v>
      </c>
      <c r="AZ9" s="146">
        <v>46000000</v>
      </c>
      <c r="BA9" s="146">
        <v>46000000</v>
      </c>
      <c r="BB9" s="146">
        <v>46000000</v>
      </c>
      <c r="BC9" s="146">
        <v>46000000</v>
      </c>
      <c r="BD9" s="146">
        <v>46000000</v>
      </c>
      <c r="BE9" s="146">
        <v>46000000</v>
      </c>
      <c r="BF9" s="146">
        <v>75000000</v>
      </c>
      <c r="BG9" s="146">
        <v>75000000</v>
      </c>
      <c r="BH9" s="146">
        <v>75000000</v>
      </c>
      <c r="BI9" s="146">
        <v>75000000</v>
      </c>
      <c r="BJ9" s="146">
        <v>75000000</v>
      </c>
      <c r="BK9" s="146">
        <v>75000000</v>
      </c>
      <c r="BL9" s="146">
        <v>75000000</v>
      </c>
      <c r="BM9" s="146">
        <v>75000000</v>
      </c>
      <c r="BN9" s="146">
        <v>75000000</v>
      </c>
      <c r="BO9" s="146">
        <v>75000000</v>
      </c>
      <c r="BP9" s="146">
        <v>75000000</v>
      </c>
      <c r="BQ9" s="551">
        <v>55000000</v>
      </c>
      <c r="BR9" s="146">
        <v>75000000</v>
      </c>
      <c r="BS9" s="146">
        <v>75000000</v>
      </c>
      <c r="BT9" s="146">
        <v>75000000</v>
      </c>
      <c r="BU9" s="146">
        <v>75000000</v>
      </c>
      <c r="BV9" s="146">
        <v>75000000</v>
      </c>
      <c r="BW9" s="146">
        <v>75000000</v>
      </c>
      <c r="BX9" s="146">
        <v>75000000</v>
      </c>
      <c r="BY9" s="146">
        <v>75000000</v>
      </c>
      <c r="BZ9" s="146">
        <v>75000000</v>
      </c>
      <c r="CA9" s="146">
        <v>75000000</v>
      </c>
      <c r="CB9" s="146">
        <v>75000000</v>
      </c>
      <c r="CC9" s="146">
        <v>75000000</v>
      </c>
      <c r="CD9" s="146">
        <v>75000000</v>
      </c>
      <c r="CE9" s="146">
        <v>75000000</v>
      </c>
      <c r="CF9" s="146">
        <v>75000000</v>
      </c>
      <c r="CG9" s="146">
        <v>75000000</v>
      </c>
      <c r="CH9" s="146">
        <v>75000000</v>
      </c>
      <c r="CI9" s="146">
        <v>75000000</v>
      </c>
      <c r="CJ9" s="146">
        <v>75000000</v>
      </c>
      <c r="CK9" s="146">
        <v>75000000</v>
      </c>
      <c r="CL9" s="146">
        <v>75000000</v>
      </c>
      <c r="CM9" s="146">
        <v>75000000</v>
      </c>
      <c r="CN9" s="146">
        <v>75000000</v>
      </c>
      <c r="CO9" s="146">
        <v>75000000</v>
      </c>
      <c r="CP9" s="146">
        <v>75000000</v>
      </c>
      <c r="CQ9" s="146">
        <v>75000000</v>
      </c>
      <c r="CR9" s="146">
        <v>75000000</v>
      </c>
      <c r="CS9" s="146">
        <v>75000000</v>
      </c>
      <c r="CT9" s="146">
        <v>75000000</v>
      </c>
      <c r="CU9" s="146">
        <v>75000000</v>
      </c>
      <c r="CV9" s="146">
        <v>75000000</v>
      </c>
      <c r="CW9" s="146">
        <v>75000000</v>
      </c>
      <c r="CX9" s="146">
        <v>75000000</v>
      </c>
      <c r="CY9" s="146">
        <v>75000000</v>
      </c>
      <c r="CZ9" s="146">
        <v>75000000</v>
      </c>
      <c r="DA9" s="146">
        <v>75000000</v>
      </c>
      <c r="DB9" s="146">
        <v>75000000</v>
      </c>
      <c r="DC9" s="146">
        <v>75000000</v>
      </c>
      <c r="DD9" s="146">
        <v>75000000</v>
      </c>
      <c r="DE9" s="146">
        <v>75000000</v>
      </c>
      <c r="DF9" s="146">
        <v>75000000</v>
      </c>
      <c r="DG9" s="146">
        <v>75000000</v>
      </c>
      <c r="DH9" s="146">
        <v>75000000</v>
      </c>
      <c r="DI9" s="146">
        <v>75000000</v>
      </c>
      <c r="DJ9" s="146">
        <v>75000000</v>
      </c>
      <c r="DK9" s="146">
        <v>75000000</v>
      </c>
      <c r="DL9" s="146">
        <v>75000000</v>
      </c>
      <c r="DM9" s="146">
        <v>75000000</v>
      </c>
      <c r="DN9" s="146">
        <v>75000000</v>
      </c>
      <c r="DO9" s="146">
        <v>75000000</v>
      </c>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row>
    <row r="10" spans="3:150">
      <c r="C10" s="143"/>
      <c r="D10" s="282"/>
      <c r="E10" s="283" t="s">
        <v>150</v>
      </c>
      <c r="F10" s="446">
        <v>0</v>
      </c>
      <c r="G10" s="446">
        <v>0</v>
      </c>
      <c r="H10" s="146">
        <v>0</v>
      </c>
      <c r="I10" s="146">
        <v>0</v>
      </c>
      <c r="J10" s="146">
        <v>0</v>
      </c>
      <c r="K10" s="146">
        <v>0</v>
      </c>
      <c r="L10" s="146">
        <v>0</v>
      </c>
      <c r="M10" s="146">
        <v>0</v>
      </c>
      <c r="N10" s="146">
        <v>0</v>
      </c>
      <c r="O10" s="146">
        <v>0</v>
      </c>
      <c r="P10" s="146">
        <v>0</v>
      </c>
      <c r="Q10" s="146">
        <v>0</v>
      </c>
      <c r="R10" s="146">
        <v>0</v>
      </c>
      <c r="S10" s="146">
        <v>0</v>
      </c>
      <c r="T10" s="146">
        <v>0</v>
      </c>
      <c r="U10" s="146">
        <v>0</v>
      </c>
      <c r="V10" s="146">
        <v>0</v>
      </c>
      <c r="W10" s="146">
        <v>0</v>
      </c>
      <c r="X10" s="146">
        <v>0</v>
      </c>
      <c r="Y10" s="146">
        <v>0</v>
      </c>
      <c r="Z10" s="146">
        <v>0</v>
      </c>
      <c r="AA10" s="146">
        <v>0</v>
      </c>
      <c r="AB10" s="146">
        <v>0</v>
      </c>
      <c r="AC10" s="146">
        <v>0</v>
      </c>
      <c r="AD10" s="146">
        <v>0</v>
      </c>
      <c r="AE10" s="146">
        <v>0</v>
      </c>
      <c r="AF10" s="146">
        <v>0</v>
      </c>
      <c r="AG10" s="146">
        <v>0</v>
      </c>
      <c r="AH10" s="146">
        <v>0</v>
      </c>
      <c r="AI10" s="146">
        <v>0</v>
      </c>
      <c r="AJ10" s="146">
        <v>0</v>
      </c>
      <c r="AK10" s="146">
        <v>0</v>
      </c>
      <c r="AL10" s="146">
        <v>0</v>
      </c>
      <c r="AM10" s="146">
        <v>0</v>
      </c>
      <c r="AN10" s="146">
        <v>0</v>
      </c>
      <c r="AO10" s="146">
        <v>0</v>
      </c>
      <c r="AP10" s="146">
        <v>0</v>
      </c>
      <c r="AQ10" s="146">
        <v>0</v>
      </c>
      <c r="AR10" s="146">
        <v>0</v>
      </c>
      <c r="AS10" s="146">
        <v>0</v>
      </c>
      <c r="AT10" s="146">
        <v>0</v>
      </c>
      <c r="AU10" s="146">
        <v>0</v>
      </c>
      <c r="AV10" s="146">
        <v>0</v>
      </c>
      <c r="AW10" s="146">
        <v>0</v>
      </c>
      <c r="AX10" s="146">
        <v>0</v>
      </c>
      <c r="AY10" s="146">
        <v>0</v>
      </c>
      <c r="AZ10" s="146">
        <v>0</v>
      </c>
      <c r="BA10" s="146">
        <v>0</v>
      </c>
      <c r="BB10" s="146">
        <v>0</v>
      </c>
      <c r="BC10" s="146">
        <v>0</v>
      </c>
      <c r="BD10" s="146">
        <v>0</v>
      </c>
      <c r="BE10" s="146">
        <v>0</v>
      </c>
      <c r="BF10" s="146">
        <v>0</v>
      </c>
      <c r="BG10" s="146">
        <v>0</v>
      </c>
      <c r="BH10" s="146">
        <v>0</v>
      </c>
      <c r="BI10" s="146">
        <v>0</v>
      </c>
      <c r="BJ10" s="146">
        <v>0</v>
      </c>
      <c r="BK10" s="146">
        <v>0</v>
      </c>
      <c r="BL10" s="146">
        <v>0</v>
      </c>
      <c r="BM10" s="146">
        <v>0</v>
      </c>
      <c r="BN10" s="146">
        <v>0</v>
      </c>
      <c r="BO10" s="146">
        <v>0</v>
      </c>
      <c r="BP10" s="146">
        <v>0</v>
      </c>
      <c r="BQ10" s="146">
        <v>0</v>
      </c>
      <c r="BR10" s="146">
        <v>0</v>
      </c>
      <c r="BS10" s="146">
        <v>0</v>
      </c>
      <c r="BT10" s="146">
        <v>0</v>
      </c>
      <c r="BU10" s="146">
        <v>0</v>
      </c>
      <c r="BV10" s="146">
        <v>0</v>
      </c>
      <c r="BW10" s="146">
        <v>0</v>
      </c>
      <c r="BX10" s="146">
        <v>0</v>
      </c>
      <c r="BY10" s="146">
        <v>0</v>
      </c>
      <c r="BZ10" s="146">
        <v>0</v>
      </c>
      <c r="CA10" s="146">
        <v>0</v>
      </c>
      <c r="CB10" s="146">
        <v>0</v>
      </c>
      <c r="CC10" s="146">
        <v>0</v>
      </c>
      <c r="CD10" s="146">
        <v>0</v>
      </c>
      <c r="CE10" s="146">
        <v>0</v>
      </c>
      <c r="CF10" s="146">
        <v>0</v>
      </c>
      <c r="CG10" s="146">
        <v>0</v>
      </c>
      <c r="CH10" s="146">
        <v>0</v>
      </c>
      <c r="CI10" s="146">
        <v>0</v>
      </c>
      <c r="CJ10" s="146">
        <v>0</v>
      </c>
      <c r="CK10" s="146">
        <v>0</v>
      </c>
      <c r="CL10" s="146">
        <v>0</v>
      </c>
      <c r="CM10" s="146">
        <v>0</v>
      </c>
      <c r="CN10" s="146">
        <v>0</v>
      </c>
      <c r="CO10" s="146">
        <v>0</v>
      </c>
      <c r="CP10" s="146">
        <v>0</v>
      </c>
      <c r="CQ10" s="146">
        <v>0</v>
      </c>
      <c r="CR10" s="146">
        <v>0</v>
      </c>
      <c r="CS10" s="146">
        <v>0</v>
      </c>
      <c r="CT10" s="146">
        <v>0</v>
      </c>
      <c r="CU10" s="146">
        <v>0</v>
      </c>
      <c r="CV10" s="146">
        <v>0</v>
      </c>
      <c r="CW10" s="146">
        <v>0</v>
      </c>
      <c r="CX10" s="146">
        <v>0</v>
      </c>
      <c r="CY10" s="146">
        <v>0</v>
      </c>
      <c r="CZ10" s="146">
        <v>0</v>
      </c>
      <c r="DA10" s="146">
        <v>0</v>
      </c>
      <c r="DB10" s="146">
        <v>0</v>
      </c>
      <c r="DC10" s="146">
        <v>0</v>
      </c>
      <c r="DD10" s="146">
        <v>0</v>
      </c>
      <c r="DE10" s="146">
        <v>0</v>
      </c>
      <c r="DF10" s="146">
        <v>0</v>
      </c>
      <c r="DG10" s="146">
        <v>0</v>
      </c>
      <c r="DH10" s="146">
        <v>0</v>
      </c>
      <c r="DI10" s="146">
        <v>0</v>
      </c>
      <c r="DJ10" s="146">
        <v>0</v>
      </c>
      <c r="DK10" s="146">
        <v>0</v>
      </c>
      <c r="DL10" s="146">
        <v>0</v>
      </c>
      <c r="DM10" s="146">
        <v>0</v>
      </c>
      <c r="DN10" s="146">
        <v>0</v>
      </c>
      <c r="DO10" s="146">
        <v>0</v>
      </c>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row>
    <row r="11" spans="3:150">
      <c r="C11" s="143"/>
      <c r="D11" s="144"/>
      <c r="E11" s="283" t="s">
        <v>151</v>
      </c>
      <c r="F11" s="146">
        <v>0</v>
      </c>
      <c r="G11" s="146">
        <v>25324675</v>
      </c>
      <c r="H11" s="146">
        <v>37687500</v>
      </c>
      <c r="I11" s="146">
        <v>39375000</v>
      </c>
      <c r="J11" s="146">
        <v>41062500</v>
      </c>
      <c r="K11" s="146">
        <v>32083333</v>
      </c>
      <c r="L11" s="146">
        <v>30833333</v>
      </c>
      <c r="M11" s="146">
        <v>31666667</v>
      </c>
      <c r="N11" s="146">
        <v>31666667</v>
      </c>
      <c r="O11" s="146">
        <v>32500000</v>
      </c>
      <c r="P11" s="146">
        <v>32500000</v>
      </c>
      <c r="Q11" s="146">
        <v>34166667</v>
      </c>
      <c r="R11" s="146">
        <v>33333333</v>
      </c>
      <c r="S11" s="146">
        <v>35833333</v>
      </c>
      <c r="T11" s="146">
        <v>42500000</v>
      </c>
      <c r="U11" s="146">
        <v>42500000</v>
      </c>
      <c r="V11" s="146">
        <v>42500000</v>
      </c>
      <c r="W11" s="146">
        <v>34000000</v>
      </c>
      <c r="X11" s="146">
        <v>33000000</v>
      </c>
      <c r="Y11" s="146">
        <v>19586667</v>
      </c>
      <c r="Z11" s="146">
        <v>17920000</v>
      </c>
      <c r="AA11" s="146">
        <v>17920000</v>
      </c>
      <c r="AB11" s="146">
        <v>20888235</v>
      </c>
      <c r="AC11" s="146">
        <v>22605735</v>
      </c>
      <c r="AD11" s="146">
        <v>20201235</v>
      </c>
      <c r="AE11" s="146">
        <v>23292735</v>
      </c>
      <c r="AF11" s="146">
        <v>23292735</v>
      </c>
      <c r="AG11" s="146">
        <v>21657675</v>
      </c>
      <c r="AH11" s="146">
        <v>23014500</v>
      </c>
      <c r="AI11" s="146">
        <v>22909091</v>
      </c>
      <c r="AJ11" s="146">
        <v>22181818</v>
      </c>
      <c r="AK11" s="146">
        <v>24494585</v>
      </c>
      <c r="AL11" s="146">
        <v>26046252</v>
      </c>
      <c r="AM11" s="146">
        <v>28386729</v>
      </c>
      <c r="AN11" s="146">
        <v>30754542</v>
      </c>
      <c r="AO11" s="146">
        <v>35493009</v>
      </c>
      <c r="AP11" s="146">
        <v>28276434</v>
      </c>
      <c r="AQ11" s="146">
        <v>30498234</v>
      </c>
      <c r="AR11" s="146">
        <v>29481342</v>
      </c>
      <c r="AS11" s="146">
        <v>32038458</v>
      </c>
      <c r="AT11" s="146">
        <v>28499997</v>
      </c>
      <c r="AU11" s="146">
        <v>24253843</v>
      </c>
      <c r="AV11" s="146">
        <v>21059239</v>
      </c>
      <c r="AW11" s="146">
        <v>21812436</v>
      </c>
      <c r="AX11" s="146">
        <v>21897018</v>
      </c>
      <c r="AY11" s="146">
        <v>24600314</v>
      </c>
      <c r="AZ11" s="146">
        <v>26259123</v>
      </c>
      <c r="BA11" s="146">
        <v>27018859</v>
      </c>
      <c r="BB11" s="146">
        <v>24188090</v>
      </c>
      <c r="BC11" s="146">
        <v>14152362</v>
      </c>
      <c r="BD11" s="146">
        <v>15371317</v>
      </c>
      <c r="BE11" s="146">
        <v>10365218</v>
      </c>
      <c r="BF11" s="146">
        <v>8183803</v>
      </c>
      <c r="BG11" s="146">
        <v>13783880</v>
      </c>
      <c r="BH11" s="146">
        <v>17740</v>
      </c>
      <c r="BI11" s="146">
        <v>20723626</v>
      </c>
      <c r="BJ11" s="146">
        <v>20637257</v>
      </c>
      <c r="BK11" s="146">
        <v>25450730</v>
      </c>
      <c r="BL11" s="146">
        <v>29307673</v>
      </c>
      <c r="BM11" s="146">
        <v>30078798</v>
      </c>
      <c r="BN11" s="146">
        <v>34269089</v>
      </c>
      <c r="BO11" s="146">
        <v>37446159</v>
      </c>
      <c r="BP11" s="146">
        <v>41943228</v>
      </c>
      <c r="BQ11" s="146">
        <v>46268373</v>
      </c>
      <c r="BR11" s="146">
        <v>51178112</v>
      </c>
      <c r="BS11" s="146">
        <v>51575440</v>
      </c>
      <c r="BT11" s="146">
        <v>59223855</v>
      </c>
      <c r="BU11" s="146">
        <v>63140926</v>
      </c>
      <c r="BV11" s="146">
        <v>67271958.879999995</v>
      </c>
      <c r="BW11" s="146">
        <v>64248812.590000004</v>
      </c>
      <c r="BX11" s="146">
        <v>62877432.409999996</v>
      </c>
      <c r="BY11" s="146">
        <v>62724444</v>
      </c>
      <c r="BZ11" s="146">
        <v>56478417.479999997</v>
      </c>
      <c r="CA11" s="146">
        <v>56756922.359999999</v>
      </c>
      <c r="CB11" s="146">
        <v>54351098.829999998</v>
      </c>
      <c r="CC11" s="146">
        <v>51282917.5</v>
      </c>
      <c r="CD11" s="146">
        <v>54518775.340000004</v>
      </c>
      <c r="CE11" s="146">
        <v>51487450.82</v>
      </c>
      <c r="CF11" s="146">
        <v>51453166.149999999</v>
      </c>
      <c r="CG11" s="146">
        <v>54745213.880000003</v>
      </c>
      <c r="CH11" s="146">
        <v>53076817.149999999</v>
      </c>
      <c r="CI11" s="146">
        <v>57354718.850000001</v>
      </c>
      <c r="CJ11" s="146">
        <v>63047522.670000002</v>
      </c>
      <c r="CK11" s="146">
        <v>38677778.009999998</v>
      </c>
      <c r="CL11" s="146">
        <v>39908684.68</v>
      </c>
      <c r="CM11" s="146">
        <v>41775287.159999996</v>
      </c>
      <c r="CN11" s="146">
        <v>44598139.119999997</v>
      </c>
      <c r="CO11" s="146">
        <v>46503258.130000003</v>
      </c>
      <c r="CP11" s="146">
        <v>50302008</v>
      </c>
      <c r="CQ11" s="146">
        <v>50199632</v>
      </c>
      <c r="CR11" s="146">
        <v>53745236</v>
      </c>
      <c r="CS11" s="146">
        <v>56312798</v>
      </c>
      <c r="CT11" s="146">
        <v>59054271</v>
      </c>
      <c r="CU11" s="146">
        <v>59325164</v>
      </c>
      <c r="CV11" s="146">
        <v>56440188</v>
      </c>
      <c r="CW11" s="146">
        <v>31432819</v>
      </c>
      <c r="CX11" s="146">
        <v>31853373.469999999</v>
      </c>
      <c r="CY11" s="146">
        <v>31685516</v>
      </c>
      <c r="CZ11" s="146">
        <v>36596097</v>
      </c>
      <c r="DA11" s="146">
        <v>38232699</v>
      </c>
      <c r="DB11" s="146">
        <v>40856994</v>
      </c>
      <c r="DC11" s="146">
        <v>44303825</v>
      </c>
      <c r="DD11" s="146">
        <v>46888771</v>
      </c>
      <c r="DE11" s="146">
        <v>43805040</v>
      </c>
      <c r="DF11" s="146">
        <v>44746468</v>
      </c>
      <c r="DG11" s="146">
        <v>44436299</v>
      </c>
      <c r="DH11" s="146">
        <v>42632991</v>
      </c>
      <c r="DI11" s="146">
        <v>40189535.520000003</v>
      </c>
      <c r="DJ11" s="146">
        <v>34672946</v>
      </c>
      <c r="DK11" s="146">
        <v>38907904</v>
      </c>
      <c r="DL11" s="146">
        <v>39945621</v>
      </c>
      <c r="DM11" s="146">
        <v>40821270</v>
      </c>
      <c r="DN11" s="146">
        <v>39025892.119999997</v>
      </c>
      <c r="DO11" s="146">
        <v>33523004</v>
      </c>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row>
    <row r="12" spans="3:150">
      <c r="C12" s="147"/>
      <c r="D12" s="148"/>
      <c r="E12" s="149" t="s">
        <v>152</v>
      </c>
      <c r="F12" s="150" t="e">
        <f>IF(OR(Summary!$F$19="",Summary!$F$19="NA",Summary!$F$19="N/A"),'Tracking &amp; Banking'!F11/F9,'Tracking &amp; Banking'!F11/'Tracking &amp; Banking'!F10)</f>
        <v>#DIV/0!</v>
      </c>
      <c r="G12" s="150">
        <f>IF(OR(Summary!$F$19="",Summary!$F$19="NA",Summary!$F$19="N/A"),'Tracking &amp; Banking'!G11/G9,'Tracking &amp; Banking'!G11/'Tracking &amp; Banking'!G10)</f>
        <v>0.50649350000000004</v>
      </c>
      <c r="H12" s="150">
        <f>IF(OR(Summary!$F$19="",Summary!$F$19="NA",Summary!$F$19="N/A"),'Tracking &amp; Banking'!H11/H9,'Tracking &amp; Banking'!H11/'Tracking &amp; Banking'!H10)</f>
        <v>0.75375000000000003</v>
      </c>
      <c r="I12" s="150">
        <f>IF(OR(Summary!$F$19="",Summary!$F$19="NA",Summary!$F$19="N/A"),'Tracking &amp; Banking'!I11/I9,'Tracking &amp; Banking'!I11/'Tracking &amp; Banking'!I10)</f>
        <v>0.78749999999999998</v>
      </c>
      <c r="J12" s="150">
        <f>IF(OR(Summary!$F$19="",Summary!$F$19="NA",Summary!$F$19="N/A"),'Tracking &amp; Banking'!J11/J9,'Tracking &amp; Banking'!J11/'Tracking &amp; Banking'!J10)</f>
        <v>0.82125000000000004</v>
      </c>
      <c r="K12" s="150">
        <f>IF(OR(Summary!$F$19="",Summary!$F$19="NA",Summary!$F$19="N/A"),'Tracking &amp; Banking'!K11/K9,'Tracking &amp; Banking'!K11/'Tracking &amp; Banking'!K10)</f>
        <v>0.64166666000000006</v>
      </c>
      <c r="L12" s="150">
        <f>IF(OR(Summary!$F$19="",Summary!$F$19="NA",Summary!$F$19="N/A"),'Tracking &amp; Banking'!L11/L9,'Tracking &amp; Banking'!L11/'Tracking &amp; Banking'!L10)</f>
        <v>0.61666666000000003</v>
      </c>
      <c r="M12" s="150">
        <f>IF(OR(Summary!$F$19="",Summary!$F$19="NA",Summary!$F$19="N/A"),'Tracking &amp; Banking'!M11/M9,'Tracking &amp; Banking'!M11/'Tracking &amp; Banking'!M10)</f>
        <v>0.63333333999999997</v>
      </c>
      <c r="N12" s="150">
        <f>IF(OR(Summary!$F$19="",Summary!$F$19="NA",Summary!$F$19="N/A"),'Tracking &amp; Banking'!N11/N9,'Tracking &amp; Banking'!N11/'Tracking &amp; Banking'!N10)</f>
        <v>0.63333333999999997</v>
      </c>
      <c r="O12" s="150">
        <f>IF(OR(Summary!$F$19="",Summary!$F$19="NA",Summary!$F$19="N/A"),'Tracking &amp; Banking'!O11/O9,'Tracking &amp; Banking'!O11/'Tracking &amp; Banking'!O10)</f>
        <v>0.65</v>
      </c>
      <c r="P12" s="150">
        <f>IF(OR(Summary!$F$19="",Summary!$F$19="NA",Summary!$F$19="N/A"),'Tracking &amp; Banking'!P11/P9,'Tracking &amp; Banking'!P11/'Tracking &amp; Banking'!P10)</f>
        <v>0.65</v>
      </c>
      <c r="Q12" s="150">
        <f>IF(OR(Summary!$F$19="",Summary!$F$19="NA",Summary!$F$19="N/A"),'Tracking &amp; Banking'!Q11/Q9,'Tracking &amp; Banking'!Q11/'Tracking &amp; Banking'!Q10)</f>
        <v>0.68333334000000001</v>
      </c>
      <c r="R12" s="150">
        <f>IF(OR(Summary!$F$19="",Summary!$F$19="NA",Summary!$F$19="N/A"),'Tracking &amp; Banking'!R11/R9,'Tracking &amp; Banking'!R11/'Tracking &amp; Banking'!R10)</f>
        <v>0.66666665999999997</v>
      </c>
      <c r="S12" s="150">
        <f>IF(OR(Summary!$F$19="",Summary!$F$19="NA",Summary!$F$19="N/A"),'Tracking &amp; Banking'!S11/S9,'Tracking &amp; Banking'!S11/'Tracking &amp; Banking'!S10)</f>
        <v>0.71666666000000001</v>
      </c>
      <c r="T12" s="150">
        <f>IF(OR(Summary!$F$19="",Summary!$F$19="NA",Summary!$F$19="N/A"),'Tracking &amp; Banking'!T11/T9,'Tracking &amp; Banking'!T11/'Tracking &amp; Banking'!T10)</f>
        <v>0.85</v>
      </c>
      <c r="U12" s="150">
        <f>IF(OR(Summary!$F$19="",Summary!$F$19="NA",Summary!$F$19="N/A"),'Tracking &amp; Banking'!U11/U9,'Tracking &amp; Banking'!U11/'Tracking &amp; Banking'!U10)</f>
        <v>0.85</v>
      </c>
      <c r="V12" s="150">
        <f>IF(OR(Summary!$F$19="",Summary!$F$19="NA",Summary!$F$19="N/A"),'Tracking &amp; Banking'!V11/V9,'Tracking &amp; Banking'!V11/'Tracking &amp; Banking'!V10)</f>
        <v>0.85</v>
      </c>
      <c r="W12" s="150">
        <f>IF(OR(Summary!$F$19="",Summary!$F$19="NA",Summary!$F$19="N/A"),'Tracking &amp; Banking'!W11/W9,'Tracking &amp; Banking'!W11/'Tracking &amp; Banking'!W10)</f>
        <v>0.68</v>
      </c>
      <c r="X12" s="150">
        <f>IF(OR(Summary!$F$19="",Summary!$F$19="NA",Summary!$F$19="N/A"),'Tracking &amp; Banking'!X11/X9,'Tracking &amp; Banking'!X11/'Tracking &amp; Banking'!X10)</f>
        <v>0.66</v>
      </c>
      <c r="Y12" s="150">
        <f>IF(OR(Summary!$F$19="",Summary!$F$19="NA",Summary!$F$19="N/A"),'Tracking &amp; Banking'!Y11/Y9,'Tracking &amp; Banking'!Y11/'Tracking &amp; Banking'!Y10)</f>
        <v>0.65288889999999999</v>
      </c>
      <c r="Z12" s="150">
        <f>IF(OR(Summary!$F$19="",Summary!$F$19="NA",Summary!$F$19="N/A"),'Tracking &amp; Banking'!Z11/Z9,'Tracking &amp; Banking'!Z11/'Tracking &amp; Banking'!Z10)</f>
        <v>0.59733333333333338</v>
      </c>
      <c r="AA12" s="150">
        <f>IF(OR(Summary!$F$19="",Summary!$F$19="NA",Summary!$F$19="N/A"),'Tracking &amp; Banking'!AA11/AA9,'Tracking &amp; Banking'!AA11/'Tracking &amp; Banking'!AA10)</f>
        <v>0.59733333333333338</v>
      </c>
      <c r="AB12" s="150">
        <f>IF(OR(Summary!$F$19="",Summary!$F$19="NA",Summary!$F$19="N/A"),'Tracking &amp; Banking'!AB11/AB9,'Tracking &amp; Banking'!AB11/'Tracking &amp; Banking'!AB10)</f>
        <v>0.60809999999999997</v>
      </c>
      <c r="AC12" s="150">
        <f>IF(OR(Summary!$F$19="",Summary!$F$19="NA",Summary!$F$19="N/A"),'Tracking &amp; Banking'!AC11/AC9,'Tracking &amp; Banking'!AC11/'Tracking &amp; Banking'!AC10)</f>
        <v>0.65810000000000002</v>
      </c>
      <c r="AD12" s="150">
        <f>IF(OR(Summary!$F$19="",Summary!$F$19="NA",Summary!$F$19="N/A"),'Tracking &amp; Banking'!AD11/AD9,'Tracking &amp; Banking'!AD11/'Tracking &amp; Banking'!AD10)</f>
        <v>0.58809999999999996</v>
      </c>
      <c r="AE12" s="150">
        <f>IF(OR(Summary!$F$19="",Summary!$F$19="NA",Summary!$F$19="N/A"),'Tracking &amp; Banking'!AE11/AE9,'Tracking &amp; Banking'!AE11/'Tracking &amp; Banking'!AE10)</f>
        <v>0.67810000000000004</v>
      </c>
      <c r="AF12" s="150">
        <f>IF(OR(Summary!$F$19="",Summary!$F$19="NA",Summary!$F$19="N/A"),'Tracking &amp; Banking'!AF11/AF9,'Tracking &amp; Banking'!AF11/'Tracking &amp; Banking'!AF10)</f>
        <v>0.67810000000000004</v>
      </c>
      <c r="AG12" s="150">
        <f>IF(OR(Summary!$F$19="",Summary!$F$19="NA",Summary!$F$19="N/A"),'Tracking &amp; Banking'!AG11/AG9,'Tracking &amp; Banking'!AG11/'Tracking &amp; Banking'!AG10)</f>
        <v>0.63049999999999995</v>
      </c>
      <c r="AH12" s="150">
        <f>IF(OR(Summary!$F$19="",Summary!$F$19="NA",Summary!$F$19="N/A"),'Tracking &amp; Banking'!AH11/AH9,'Tracking &amp; Banking'!AH11/'Tracking &amp; Banking'!AH10)</f>
        <v>0.67</v>
      </c>
      <c r="AI12" s="150">
        <f>IF(OR(Summary!$F$19="",Summary!$F$19="NA",Summary!$F$19="N/A"),'Tracking &amp; Banking'!AI11/AI9,'Tracking &amp; Banking'!AI11/'Tracking &amp; Banking'!AI10)</f>
        <v>0.66693132459970883</v>
      </c>
      <c r="AJ12" s="150">
        <f>IF(OR(Summary!$F$19="",Summary!$F$19="NA",Summary!$F$19="N/A"),'Tracking &amp; Banking'!AJ11/AJ9,'Tracking &amp; Banking'!AJ11/'Tracking &amp; Banking'!AJ10)</f>
        <v>0.55454545</v>
      </c>
      <c r="AK12" s="150">
        <f>IF(OR(Summary!$F$19="",Summary!$F$19="NA",Summary!$F$19="N/A"),'Tracking &amp; Banking'!AK11/AK9,'Tracking &amp; Banking'!AK11/'Tracking &amp; Banking'!AK10)</f>
        <v>0.612364625</v>
      </c>
      <c r="AL12" s="150">
        <f>IF(OR(Summary!$F$19="",Summary!$F$19="NA",Summary!$F$19="N/A"),'Tracking &amp; Banking'!AL11/AL9,'Tracking &amp; Banking'!AL11/'Tracking &amp; Banking'!AL10)</f>
        <v>0.65115630000000002</v>
      </c>
      <c r="AM12" s="150">
        <f>IF(OR(Summary!$F$19="",Summary!$F$19="NA",Summary!$F$19="N/A"),'Tracking &amp; Banking'!AM11/AM9,'Tracking &amp; Banking'!AM11/'Tracking &amp; Banking'!AM10)</f>
        <v>0.70966822500000004</v>
      </c>
      <c r="AN12" s="150">
        <f>IF(OR(Summary!$F$19="",Summary!$F$19="NA",Summary!$F$19="N/A"),'Tracking &amp; Banking'!AN11/AN9,'Tracking &amp; Banking'!AN11/'Tracking &amp; Banking'!AN10)</f>
        <v>0.76886354999999995</v>
      </c>
      <c r="AO12" s="150">
        <f>IF(OR(Summary!$F$19="",Summary!$F$19="NA",Summary!$F$19="N/A"),'Tracking &amp; Banking'!AO11/AO9,'Tracking &amp; Banking'!AO11/'Tracking &amp; Banking'!AO10)</f>
        <v>0.887325225</v>
      </c>
      <c r="AP12" s="150">
        <f>IF(OR(Summary!$F$19="",Summary!$F$19="NA",Summary!$F$19="N/A"),'Tracking &amp; Banking'!AP11/AP9,'Tracking &amp; Banking'!AP11/'Tracking &amp; Banking'!AP10)</f>
        <v>0.61470508695652171</v>
      </c>
      <c r="AQ12" s="150">
        <f>IF(OR(Summary!$F$19="",Summary!$F$19="NA",Summary!$F$19="N/A"),'Tracking &amp; Banking'!AQ11/AQ9,'Tracking &amp; Banking'!AQ11/'Tracking &amp; Banking'!AQ10)</f>
        <v>0.66300508695652172</v>
      </c>
      <c r="AR12" s="150">
        <f>IF(OR(Summary!$F$19="",Summary!$F$19="NA",Summary!$F$19="N/A"),'Tracking &amp; Banking'!AR11/AR9,'Tracking &amp; Banking'!AR11/'Tracking &amp; Banking'!AR10)</f>
        <v>0.64089873913043482</v>
      </c>
      <c r="AS12" s="150">
        <f>IF(OR(Summary!$F$19="",Summary!$F$19="NA",Summary!$F$19="N/A"),'Tracking &amp; Banking'!AS11/AS9,'Tracking &amp; Banking'!AS11/'Tracking &amp; Banking'!AS10)</f>
        <v>0.6964882173913044</v>
      </c>
      <c r="AT12" s="150">
        <f>IF(OR(Summary!$F$19="",Summary!$F$19="NA",Summary!$F$19="N/A"),'Tracking &amp; Banking'!AT11/AT9,'Tracking &amp; Banking'!AT11/'Tracking &amp; Banking'!AT10)</f>
        <v>0.61956515217391306</v>
      </c>
      <c r="AU12" s="150">
        <f>IF(OR(Summary!$F$19="",Summary!$F$19="NA",Summary!$F$19="N/A"),'Tracking &amp; Banking'!AU11/AU9,'Tracking &amp; Banking'!AU11/'Tracking &amp; Banking'!AU10)</f>
        <v>0.52725745652173917</v>
      </c>
      <c r="AV12" s="150">
        <f>IF(OR(Summary!$F$19="",Summary!$F$19="NA",Summary!$F$19="N/A"),'Tracking &amp; Banking'!AV11/AV9,'Tracking &amp; Banking'!AV11/'Tracking &amp; Banking'!AV10)</f>
        <v>0.45780954347826086</v>
      </c>
      <c r="AW12" s="150">
        <f>IF(OR(Summary!$F$19="",Summary!$F$19="NA",Summary!$F$19="N/A"),'Tracking &amp; Banking'!AW11/AW9,'Tracking &amp; Banking'!AW11/'Tracking &amp; Banking'!AW10)</f>
        <v>0.47418339130434783</v>
      </c>
      <c r="AX12" s="150">
        <f>IF(OR(Summary!$F$19="",Summary!$F$19="NA",Summary!$F$19="N/A"),'Tracking &amp; Banking'!AX11/AX9,'Tracking &amp; Banking'!AX11/'Tracking &amp; Banking'!AX10)</f>
        <v>0.47602213043478259</v>
      </c>
      <c r="AY12" s="150">
        <f>IF(OR(Summary!$F$19="",Summary!$F$19="NA",Summary!$F$19="N/A"),'Tracking &amp; Banking'!AY11/AY9,'Tracking &amp; Banking'!AY11/'Tracking &amp; Banking'!AY10)</f>
        <v>0.53478943478260865</v>
      </c>
      <c r="AZ12" s="150">
        <f>IF(OR(Summary!$F$19="",Summary!$F$19="NA",Summary!$F$19="N/A"),'Tracking &amp; Banking'!AZ11/AZ9,'Tracking &amp; Banking'!AZ11/'Tracking &amp; Banking'!AZ10)</f>
        <v>0.57085050000000004</v>
      </c>
      <c r="BA12" s="150">
        <f>IF(OR(Summary!$F$19="",Summary!$F$19="NA",Summary!$F$19="N/A"),'Tracking &amp; Banking'!BA11/BA9,'Tracking &amp; Banking'!BA11/'Tracking &amp; Banking'!BA10)</f>
        <v>0.58736650000000001</v>
      </c>
      <c r="BB12" s="150">
        <f>IF(OR(Summary!$F$19="",Summary!$F$19="NA",Summary!$F$19="N/A"),'Tracking &amp; Banking'!BB11/BB9,'Tracking &amp; Banking'!BB11/'Tracking &amp; Banking'!BB10)</f>
        <v>0.52582804347826084</v>
      </c>
      <c r="BC12" s="150">
        <f>IF(OR(Summary!$F$19="",Summary!$F$19="NA",Summary!$F$19="N/A"),'Tracking &amp; Banking'!BC11/BC9,'Tracking &amp; Banking'!BC11/'Tracking &amp; Banking'!BC10)</f>
        <v>0.30766004347826087</v>
      </c>
      <c r="BD12" s="150">
        <f>IF(OR(Summary!$F$19="",Summary!$F$19="NA",Summary!$F$19="N/A"),'Tracking &amp; Banking'!BD11/BD9,'Tracking &amp; Banking'!BD11/'Tracking &amp; Banking'!BD10)</f>
        <v>0.3341590652173913</v>
      </c>
      <c r="BE12" s="150">
        <f>IF(OR(Summary!$F$19="",Summary!$F$19="NA",Summary!$F$19="N/A"),'Tracking &amp; Banking'!BE11/BE9,'Tracking &amp; Banking'!BE11/'Tracking &amp; Banking'!BE10)</f>
        <v>0.22533082608695651</v>
      </c>
      <c r="BF12" s="150">
        <f>IF(OR(Summary!$F$19="",Summary!$F$19="NA",Summary!$F$19="N/A"),'Tracking &amp; Banking'!BF11/BF9,'Tracking &amp; Banking'!BF11/'Tracking &amp; Banking'!BF10)</f>
        <v>0.10911737333333334</v>
      </c>
      <c r="BG12" s="150">
        <f>IF(OR(Summary!$F$19="",Summary!$F$19="NA",Summary!$F$19="N/A"),'Tracking &amp; Banking'!BG11/BG9,'Tracking &amp; Banking'!BG11/'Tracking &amp; Banking'!BG10)</f>
        <v>0.18378506666666666</v>
      </c>
      <c r="BH12" s="150">
        <f>IF(OR(Summary!$F$19="",Summary!$F$19="NA",Summary!$F$19="N/A"),'Tracking &amp; Banking'!BH11/BH9,'Tracking &amp; Banking'!BH11/'Tracking &amp; Banking'!BH10)</f>
        <v>2.3653333333333333E-4</v>
      </c>
      <c r="BI12" s="150">
        <f>IF(OR(Summary!$F$19="",Summary!$F$19="NA",Summary!$F$19="N/A"),'Tracking &amp; Banking'!BI11/BI9,'Tracking &amp; Banking'!BI11/'Tracking &amp; Banking'!BI10)</f>
        <v>0.27631501333333336</v>
      </c>
      <c r="BJ12" s="150">
        <f>IF(OR(Summary!$F$19="",Summary!$F$19="NA",Summary!$F$19="N/A"),'Tracking &amp; Banking'!BJ11/BJ9,'Tracking &amp; Banking'!BJ11/'Tracking &amp; Banking'!BJ10)</f>
        <v>0.27516342666666666</v>
      </c>
      <c r="BK12" s="150">
        <f>IF(OR(Summary!$F$19="",Summary!$F$19="NA",Summary!$F$19="N/A"),'Tracking &amp; Banking'!BK11/BK9,'Tracking &amp; Banking'!BK11/'Tracking &amp; Banking'!BK10)</f>
        <v>0.33934306666666669</v>
      </c>
      <c r="BL12" s="150">
        <f>IF(OR(Summary!$F$19="",Summary!$F$19="NA",Summary!$F$19="N/A"),'Tracking &amp; Banking'!BL11/BL9,'Tracking &amp; Banking'!BL11/'Tracking &amp; Banking'!BL10)</f>
        <v>0.39076897333333332</v>
      </c>
      <c r="BM12" s="150">
        <f>IF(OR(Summary!$F$19="",Summary!$F$19="NA",Summary!$F$19="N/A"),'Tracking &amp; Banking'!BM11/BM9,'Tracking &amp; Banking'!BM11/'Tracking &amp; Banking'!BM10)</f>
        <v>0.40105064000000001</v>
      </c>
      <c r="BN12" s="150">
        <f>IF(OR(Summary!$F$19="",Summary!$F$19="NA",Summary!$F$19="N/A"),'Tracking &amp; Banking'!BN11/BN9,'Tracking &amp; Banking'!BN11/'Tracking &amp; Banking'!BN10)</f>
        <v>0.45692118666666665</v>
      </c>
      <c r="BO12" s="150">
        <f>IF(OR(Summary!$F$19="",Summary!$F$19="NA",Summary!$F$19="N/A"),'Tracking &amp; Banking'!BO11/BO9,'Tracking &amp; Banking'!BO11/'Tracking &amp; Banking'!BO10)</f>
        <v>0.49928212</v>
      </c>
      <c r="BP12" s="150">
        <f>IF(OR(Summary!$F$19="",Summary!$F$19="NA",Summary!$F$19="N/A"),'Tracking &amp; Banking'!BP11/BP9,'Tracking &amp; Banking'!BP11/'Tracking &amp; Banking'!BP10)</f>
        <v>0.55924304000000002</v>
      </c>
      <c r="BQ12" s="150">
        <f>IF(OR(Summary!$F$19="",Summary!$F$19="NA",Summary!$F$19="N/A"),'Tracking &amp; Banking'!BQ11/BQ9,'Tracking &amp; Banking'!BQ11/'Tracking &amp; Banking'!BQ10)</f>
        <v>0.84124314545454548</v>
      </c>
      <c r="BR12" s="150">
        <f>IF(OR(Summary!$F$19="",Summary!$F$19="NA",Summary!$F$19="N/A"),'Tracking &amp; Banking'!BR11/BR9,'Tracking &amp; Banking'!BR11/'Tracking &amp; Banking'!BR10)</f>
        <v>0.68237482666666671</v>
      </c>
      <c r="BS12" s="150">
        <f>IF(OR(Summary!$F$19="",Summary!$F$19="NA",Summary!$F$19="N/A"),'Tracking &amp; Banking'!BS11/BS9,'Tracking &amp; Banking'!BS11/'Tracking &amp; Banking'!BS10)</f>
        <v>0.68767253333333334</v>
      </c>
      <c r="BT12" s="150">
        <f>IF(OR(Summary!$F$19="",Summary!$F$19="NA",Summary!$F$19="N/A"),'Tracking &amp; Banking'!BT11/BT9,'Tracking &amp; Banking'!BT11/'Tracking &amp; Banking'!BT10)</f>
        <v>0.7896514</v>
      </c>
      <c r="BU12" s="150">
        <f>IF(OR(Summary!$F$19="",Summary!$F$19="NA",Summary!$F$19="N/A"),'Tracking &amp; Banking'!BU11/BU9,'Tracking &amp; Banking'!BU11/'Tracking &amp; Banking'!BU10)</f>
        <v>0.84187901333333337</v>
      </c>
      <c r="BV12" s="150">
        <f>IF(OR(Summary!$F$19="",Summary!$F$19="NA",Summary!$F$19="N/A"),'Tracking &amp; Banking'!BV11/BV9,'Tracking &amp; Banking'!BV11/'Tracking &amp; Banking'!BV10)</f>
        <v>0.89695945173333325</v>
      </c>
      <c r="BW12" s="150">
        <f>IF(OR(Summary!$F$19="",Summary!$F$19="NA",Summary!$F$19="N/A"),'Tracking &amp; Banking'!BW11/BW9,'Tracking &amp; Banking'!BW11/'Tracking &amp; Banking'!BW10)</f>
        <v>0.85665083453333335</v>
      </c>
      <c r="BX12" s="150">
        <f>IF(OR(Summary!$F$19="",Summary!$F$19="NA",Summary!$F$19="N/A"),'Tracking &amp; Banking'!BX11/BX9,'Tracking &amp; Banking'!BX11/'Tracking &amp; Banking'!BX10)</f>
        <v>0.83836576546666663</v>
      </c>
      <c r="BY12" s="150">
        <f>IF(OR(Summary!$F$19="",Summary!$F$19="NA",Summary!$F$19="N/A"),'Tracking &amp; Banking'!BY11/BY9,'Tracking &amp; Banking'!BY11/'Tracking &amp; Banking'!BY10)</f>
        <v>0.83632591999999994</v>
      </c>
      <c r="BZ12" s="150">
        <f>IF(OR(Summary!$F$19="",Summary!$F$19="NA",Summary!$F$19="N/A"),'Tracking &amp; Banking'!BZ11/BZ9,'Tracking &amp; Banking'!BZ11/'Tracking &amp; Banking'!BZ10)</f>
        <v>0.75304556639999998</v>
      </c>
      <c r="CA12" s="150">
        <f>IF(OR(Summary!$F$19="",Summary!$F$19="NA",Summary!$F$19="N/A"),'Tracking &amp; Banking'!CA11/CA9,'Tracking &amp; Banking'!CA11/'Tracking &amp; Banking'!CA10)</f>
        <v>0.75675896480000004</v>
      </c>
      <c r="CB12" s="150">
        <f>IF(OR(Summary!$F$19="",Summary!$F$19="NA",Summary!$F$19="N/A"),'Tracking &amp; Banking'!CB11/CB9,'Tracking &amp; Banking'!CB11/'Tracking &amp; Banking'!CB10)</f>
        <v>0.72468131773333333</v>
      </c>
      <c r="CC12" s="150">
        <f>IF(OR(Summary!$F$19="",Summary!$F$19="NA",Summary!$F$19="N/A"),'Tracking &amp; Banking'!CC11/CC9,'Tracking &amp; Banking'!CC11/'Tracking &amp; Banking'!CC10)</f>
        <v>0.68377223333333337</v>
      </c>
      <c r="CD12" s="150">
        <f>IF(OR(Summary!$F$19="",Summary!$F$19="NA",Summary!$F$19="N/A"),'Tracking &amp; Banking'!CD11/CD9,'Tracking &amp; Banking'!CD11/'Tracking &amp; Banking'!CD10)</f>
        <v>0.72691700453333341</v>
      </c>
      <c r="CE12" s="150">
        <f>IF(OR(Summary!$F$19="",Summary!$F$19="NA",Summary!$F$19="N/A"),'Tracking &amp; Banking'!CE11/CE9,'Tracking &amp; Banking'!CE11/'Tracking &amp; Banking'!CE10)</f>
        <v>0.6864993442666667</v>
      </c>
      <c r="CF12" s="150">
        <f>IF(OR(Summary!$F$19="",Summary!$F$19="NA",Summary!$F$19="N/A"),'Tracking &amp; Banking'!CF11/CF9,'Tracking &amp; Banking'!CF11/'Tracking &amp; Banking'!CF10)</f>
        <v>0.68604221533333332</v>
      </c>
      <c r="CG12" s="150">
        <f>IF(OR(Summary!$F$19="",Summary!$F$19="NA",Summary!$F$19="N/A"),'Tracking &amp; Banking'!CG11/CG9,'Tracking &amp; Banking'!CG11/'Tracking &amp; Banking'!CG10)</f>
        <v>0.72993618506666669</v>
      </c>
      <c r="CH12" s="150">
        <f>IF(OR(Summary!$F$19="",Summary!$F$19="NA",Summary!$F$19="N/A"),'Tracking &amp; Banking'!CH11/CH9,'Tracking &amp; Banking'!CH11/'Tracking &amp; Banking'!CH10)</f>
        <v>0.70769089533333329</v>
      </c>
      <c r="CI12" s="150">
        <f>IF(OR(Summary!$F$19="",Summary!$F$19="NA",Summary!$F$19="N/A"),'Tracking &amp; Banking'!CI11/CI9,'Tracking &amp; Banking'!CI11/'Tracking &amp; Banking'!CI10)</f>
        <v>0.76472958466666674</v>
      </c>
      <c r="CJ12" s="150">
        <f>IF(OR(Summary!$F$19="",Summary!$F$19="NA",Summary!$F$19="N/A"),'Tracking &amp; Banking'!CJ11/CJ9,'Tracking &amp; Banking'!CJ11/'Tracking &amp; Banking'!CJ10)</f>
        <v>0.84063363560000004</v>
      </c>
      <c r="CK12" s="150">
        <f>IF(OR(Summary!$F$19="",Summary!$F$19="NA",Summary!$F$19="N/A"),'Tracking &amp; Banking'!CK11/CK9,'Tracking &amp; Banking'!CK11/'Tracking &amp; Banking'!CK10)</f>
        <v>0.51570370679999999</v>
      </c>
      <c r="CL12" s="150">
        <f>IF(OR(Summary!$F$19="",Summary!$F$19="NA",Summary!$F$19="N/A"),'Tracking &amp; Banking'!CL11/CL9,'Tracking &amp; Banking'!CL11/'Tracking &amp; Banking'!CL10)</f>
        <v>0.53211579573333334</v>
      </c>
      <c r="CM12" s="150">
        <f>IF(OR(Summary!$F$19="",Summary!$F$19="NA",Summary!$F$19="N/A"),'Tracking &amp; Banking'!CM11/CM9,'Tracking &amp; Banking'!CM11/'Tracking &amp; Banking'!CM10)</f>
        <v>0.55700382879999999</v>
      </c>
      <c r="CN12" s="150">
        <f>IF(OR(Summary!$F$19="",Summary!$F$19="NA",Summary!$F$19="N/A"),'Tracking &amp; Banking'!CN11/CN9,'Tracking &amp; Banking'!CN11/'Tracking &amp; Banking'!CN10)</f>
        <v>0.59464185493333332</v>
      </c>
      <c r="CO12" s="150">
        <f>IF(OR(Summary!$F$19="",Summary!$F$19="NA",Summary!$F$19="N/A"),'Tracking &amp; Banking'!CO11/CO9,'Tracking &amp; Banking'!CO11/'Tracking &amp; Banking'!CO10)</f>
        <v>0.62004344173333337</v>
      </c>
      <c r="CP12" s="150">
        <f>IF(OR(Summary!$F$19="",Summary!$F$19="NA",Summary!$F$19="N/A"),'Tracking &amp; Banking'!CP11/CP9,'Tracking &amp; Banking'!CP11/'Tracking &amp; Banking'!CP10)</f>
        <v>0.67069343999999997</v>
      </c>
      <c r="CQ12" s="150">
        <f>IF(OR(Summary!$F$19="",Summary!$F$19="NA",Summary!$F$19="N/A"),'Tracking &amp; Banking'!CQ11/CQ9,'Tracking &amp; Banking'!CQ11/'Tracking &amp; Banking'!CQ10)</f>
        <v>0.6693284266666667</v>
      </c>
      <c r="CR12" s="150">
        <f>IF(OR(Summary!$F$19="",Summary!$F$19="NA",Summary!$F$19="N/A"),'Tracking &amp; Banking'!CR11/CR9,'Tracking &amp; Banking'!CR11/'Tracking &amp; Banking'!CR10)</f>
        <v>0.71660314666666669</v>
      </c>
      <c r="CS12" s="150">
        <f>IF(OR(Summary!$F$19="",Summary!$F$19="NA",Summary!$F$19="N/A"),'Tracking &amp; Banking'!CS11/CS9,'Tracking &amp; Banking'!CS11/'Tracking &amp; Banking'!CS10)</f>
        <v>0.7508373066666667</v>
      </c>
      <c r="CT12" s="150">
        <f>IF(OR(Summary!$F$19="",Summary!$F$19="NA",Summary!$F$19="N/A"),'Tracking &amp; Banking'!CT11/CT9,'Tracking &amp; Banking'!CT11/'Tracking &amp; Banking'!CT10)</f>
        <v>0.78739028</v>
      </c>
      <c r="CU12" s="150">
        <f>IF(OR(Summary!$F$19="",Summary!$F$19="NA",Summary!$F$19="N/A"),'Tracking &amp; Banking'!CU11/CU9,'Tracking &amp; Banking'!CU11/'Tracking &amp; Banking'!CU10)</f>
        <v>0.79100218666666666</v>
      </c>
      <c r="CV12" s="150">
        <f>IF(OR(Summary!$F$19="",Summary!$F$19="NA",Summary!$F$19="N/A"),'Tracking &amp; Banking'!CV11/CV9,'Tracking &amp; Banking'!CV11/'Tracking &amp; Banking'!CV10)</f>
        <v>0.75253583999999996</v>
      </c>
      <c r="CW12" s="150">
        <f>IF(OR(Summary!$F$19="",Summary!$F$19="NA",Summary!$F$19="N/A"),'Tracking &amp; Banking'!CW11/CW9,'Tracking &amp; Banking'!CW11/'Tracking &amp; Banking'!CW10)</f>
        <v>0.41910425333333334</v>
      </c>
      <c r="CX12" s="150">
        <f>IF(OR(Summary!$F$19="",Summary!$F$19="NA",Summary!$F$19="N/A"),'Tracking &amp; Banking'!CX11/CX9,'Tracking &amp; Banking'!CX11/'Tracking &amp; Banking'!CX10)</f>
        <v>0.42471164626666663</v>
      </c>
      <c r="CY12" s="150">
        <f>IF(OR(Summary!$F$19="",Summary!$F$19="NA",Summary!$F$19="N/A"),'Tracking &amp; Banking'!CY11/CY9,'Tracking &amp; Banking'!CY11/'Tracking &amp; Banking'!CY10)</f>
        <v>0.42247354666666664</v>
      </c>
      <c r="CZ12" s="150">
        <f>IF(OR(Summary!$F$19="",Summary!$F$19="NA",Summary!$F$19="N/A"),'Tracking &amp; Banking'!CZ11/CZ9,'Tracking &amp; Banking'!CZ11/'Tracking &amp; Banking'!CZ10)</f>
        <v>0.48794796000000001</v>
      </c>
      <c r="DA12" s="150">
        <f>IF(OR(Summary!$F$19="",Summary!$F$19="NA",Summary!$F$19="N/A"),'Tracking &amp; Banking'!DA11/DA9,'Tracking &amp; Banking'!DA11/'Tracking &amp; Banking'!DA10)</f>
        <v>0.50976931999999997</v>
      </c>
      <c r="DB12" s="150">
        <f>IF(OR(Summary!$F$19="",Summary!$F$19="NA",Summary!$F$19="N/A"),'Tracking &amp; Banking'!DB11/DB9,'Tracking &amp; Banking'!DB11/'Tracking &amp; Banking'!DB10)</f>
        <v>0.54475991999999995</v>
      </c>
      <c r="DC12" s="150">
        <f>IF(OR(Summary!$F$19="",Summary!$F$19="NA",Summary!$F$19="N/A"),'Tracking &amp; Banking'!DC11/DC9,'Tracking &amp; Banking'!DC11/'Tracking &amp; Banking'!DC10)</f>
        <v>0.5907176666666667</v>
      </c>
      <c r="DD12" s="150">
        <f>IF(OR(Summary!$F$19="",Summary!$F$19="NA",Summary!$F$19="N/A"),'Tracking &amp; Banking'!DD11/DD9,'Tracking &amp; Banking'!DD11/'Tracking &amp; Banking'!DD10)</f>
        <v>0.62518361333333339</v>
      </c>
      <c r="DE12" s="150">
        <f>IF(OR(Summary!$F$19="",Summary!$F$19="NA",Summary!$F$19="N/A"),'Tracking &amp; Banking'!DE11/DE9,'Tracking &amp; Banking'!DE11/'Tracking &amp; Banking'!DE10)</f>
        <v>0.58406720000000001</v>
      </c>
      <c r="DF12" s="150">
        <f>IF(OR(Summary!$F$19="",Summary!$F$19="NA",Summary!$F$19="N/A"),'Tracking &amp; Banking'!DF11/DF9,'Tracking &amp; Banking'!DF11/'Tracking &amp; Banking'!DF10)</f>
        <v>0.59661957333333338</v>
      </c>
      <c r="DG12" s="150">
        <f>IF(OR(Summary!$F$19="",Summary!$F$19="NA",Summary!$F$19="N/A"),'Tracking &amp; Banking'!DG11/DG9,'Tracking &amp; Banking'!DG11/'Tracking &amp; Banking'!DG10)</f>
        <v>0.59248398666666668</v>
      </c>
      <c r="DH12" s="150">
        <f>IF(OR(Summary!$F$19="",Summary!$F$19="NA",Summary!$F$19="N/A"),'Tracking &amp; Banking'!DH11/DH9,'Tracking &amp; Banking'!DH11/'Tracking &amp; Banking'!DH10)</f>
        <v>0.56843988000000001</v>
      </c>
      <c r="DI12" s="150">
        <f>IF(OR(Summary!$F$19="",Summary!$F$19="NA",Summary!$F$19="N/A"),'Tracking &amp; Banking'!DI11/DI9,'Tracking &amp; Banking'!DI11/'Tracking &amp; Banking'!DI10)</f>
        <v>0.5358604736</v>
      </c>
      <c r="DJ12" s="150">
        <f>IF(OR(Summary!$F$19="",Summary!$F$19="NA",Summary!$F$19="N/A"),'Tracking &amp; Banking'!DJ11/DJ9,'Tracking &amp; Banking'!DJ11/'Tracking &amp; Banking'!DJ10)</f>
        <v>0.46230594666666669</v>
      </c>
      <c r="DK12" s="150">
        <f>IF(OR(Summary!$F$19="",Summary!$F$19="NA",Summary!$F$19="N/A"),'Tracking &amp; Banking'!DK11/DK9,'Tracking &amp; Banking'!DK11/'Tracking &amp; Banking'!DK10)</f>
        <v>0.51877205333333332</v>
      </c>
      <c r="DL12" s="150">
        <f>IF(OR(Summary!$F$19="",Summary!$F$19="NA",Summary!$F$19="N/A"),'Tracking &amp; Banking'!DL11/DL9,'Tracking &amp; Banking'!DL11/'Tracking &amp; Banking'!DL10)</f>
        <v>0.53260828000000005</v>
      </c>
      <c r="DM12" s="150">
        <f>IF(OR(Summary!$F$19="",Summary!$F$19="NA",Summary!$F$19="N/A"),'Tracking &amp; Banking'!DM11/DM9,'Tracking &amp; Banking'!DM11/'Tracking &amp; Banking'!DM10)</f>
        <v>0.54428359999999998</v>
      </c>
      <c r="DN12" s="150">
        <f>IF(OR(Summary!$F$19="",Summary!$F$19="NA",Summary!$F$19="N/A"),'Tracking &amp; Banking'!DN11/DN9,'Tracking &amp; Banking'!DN11/'Tracking &amp; Banking'!DN10)</f>
        <v>0.52034522826666663</v>
      </c>
      <c r="DO12" s="150">
        <f>IF(OR(Summary!$F$19="",Summary!$F$19="NA",Summary!$F$19="N/A"),'Tracking &amp; Banking'!DO11/DO9,'Tracking &amp; Banking'!DO11/'Tracking &amp; Banking'!DO10)</f>
        <v>0.44697338666666669</v>
      </c>
      <c r="DP12" s="150" t="e">
        <f>IF(OR(Summary!$F$19="",Summary!$F$19="NA",Summary!$F$19="N/A"),'Tracking &amp; Banking'!DP11/DP9,'Tracking &amp; Banking'!DP11/'Tracking &amp; Banking'!DP10)</f>
        <v>#DIV/0!</v>
      </c>
      <c r="DQ12" s="150" t="e">
        <f>IF(OR(Summary!$F$19="",Summary!$F$19="NA",Summary!$F$19="N/A"),'Tracking &amp; Banking'!DQ11/DQ9,'Tracking &amp; Banking'!DQ11/'Tracking &amp; Banking'!DQ10)</f>
        <v>#DIV/0!</v>
      </c>
      <c r="DR12" s="150" t="e">
        <f>IF(OR(Summary!$F$19="",Summary!$F$19="NA",Summary!$F$19="N/A"),'Tracking &amp; Banking'!DR11/DR9,'Tracking &amp; Banking'!DR11/'Tracking &amp; Banking'!DR10)</f>
        <v>#DIV/0!</v>
      </c>
      <c r="DS12" s="150" t="e">
        <f>IF(OR(Summary!$F$19="",Summary!$F$19="NA",Summary!$F$19="N/A"),'Tracking &amp; Banking'!DS11/DS9,'Tracking &amp; Banking'!DS11/'Tracking &amp; Banking'!DS10)</f>
        <v>#DIV/0!</v>
      </c>
      <c r="DT12" s="150" t="e">
        <f>IF(OR(Summary!$F$19="",Summary!$F$19="NA",Summary!$F$19="N/A"),'Tracking &amp; Banking'!DT11/DT9,'Tracking &amp; Banking'!DT11/'Tracking &amp; Banking'!DT10)</f>
        <v>#DIV/0!</v>
      </c>
      <c r="DU12" s="150" t="e">
        <f>IF(OR(Summary!$F$19="",Summary!$F$19="NA",Summary!$F$19="N/A"),'Tracking &amp; Banking'!DU11/DU9,'Tracking &amp; Banking'!DU11/'Tracking &amp; Banking'!DU10)</f>
        <v>#DIV/0!</v>
      </c>
      <c r="DV12" s="150" t="e">
        <f>IF(OR(Summary!$F$19="",Summary!$F$19="NA",Summary!$F$19="N/A"),'Tracking &amp; Banking'!DV11/DV9,'Tracking &amp; Banking'!DV11/'Tracking &amp; Banking'!DV10)</f>
        <v>#DIV/0!</v>
      </c>
      <c r="DW12" s="150" t="e">
        <f>IF(OR(Summary!$F$19="",Summary!$F$19="NA",Summary!$F$19="N/A"),'Tracking &amp; Banking'!DW11/DW9,'Tracking &amp; Banking'!DW11/'Tracking &amp; Banking'!DW10)</f>
        <v>#DIV/0!</v>
      </c>
      <c r="DX12" s="150" t="e">
        <f>IF(OR(Summary!$F$19="",Summary!$F$19="NA",Summary!$F$19="N/A"),'Tracking &amp; Banking'!DX11/DX9,'Tracking &amp; Banking'!DX11/'Tracking &amp; Banking'!DX10)</f>
        <v>#DIV/0!</v>
      </c>
      <c r="DY12" s="150" t="e">
        <f>IF(OR(Summary!$F$19="",Summary!$F$19="NA",Summary!$F$19="N/A"),'Tracking &amp; Banking'!DY11/DY9,'Tracking &amp; Banking'!DY11/'Tracking &amp; Banking'!DY10)</f>
        <v>#DIV/0!</v>
      </c>
      <c r="DZ12" s="150" t="e">
        <f>IF(OR(Summary!$F$19="",Summary!$F$19="NA",Summary!$F$19="N/A"),'Tracking &amp; Banking'!DZ11/DZ9,'Tracking &amp; Banking'!DZ11/'Tracking &amp; Banking'!DZ10)</f>
        <v>#DIV/0!</v>
      </c>
      <c r="EA12" s="150" t="e">
        <f>IF(OR(Summary!$F$19="",Summary!$F$19="NA",Summary!$F$19="N/A"),'Tracking &amp; Banking'!EA11/EA9,'Tracking &amp; Banking'!EA11/'Tracking &amp; Banking'!EA10)</f>
        <v>#DIV/0!</v>
      </c>
      <c r="EB12" s="150" t="e">
        <f>IF(OR(Summary!$F$19="",Summary!$F$19="NA",Summary!$F$19="N/A"),'Tracking &amp; Banking'!EB11/EB9,'Tracking &amp; Banking'!EB11/'Tracking &amp; Banking'!EB10)</f>
        <v>#DIV/0!</v>
      </c>
      <c r="EC12" s="150" t="e">
        <f>IF(OR(Summary!$F$19="",Summary!$F$19="NA",Summary!$F$19="N/A"),'Tracking &amp; Banking'!EC11/EC9,'Tracking &amp; Banking'!EC11/'Tracking &amp; Banking'!EC10)</f>
        <v>#DIV/0!</v>
      </c>
      <c r="ED12" s="150" t="e">
        <f>IF(OR(Summary!$F$19="",Summary!$F$19="NA",Summary!$F$19="N/A"),'Tracking &amp; Banking'!ED11/ED9,'Tracking &amp; Banking'!ED11/'Tracking &amp; Banking'!ED10)</f>
        <v>#DIV/0!</v>
      </c>
      <c r="EE12" s="150" t="e">
        <f>IF(OR(Summary!$F$19="",Summary!$F$19="NA",Summary!$F$19="N/A"),'Tracking &amp; Banking'!EE11/EE9,'Tracking &amp; Banking'!EE11/'Tracking &amp; Banking'!EE10)</f>
        <v>#DIV/0!</v>
      </c>
      <c r="EF12" s="150" t="e">
        <f>IF(OR(Summary!$F$19="",Summary!$F$19="NA",Summary!$F$19="N/A"),'Tracking &amp; Banking'!EF11/EF9,'Tracking &amp; Banking'!EF11/'Tracking &amp; Banking'!EF10)</f>
        <v>#DIV/0!</v>
      </c>
      <c r="EG12" s="150" t="e">
        <f>IF(OR(Summary!$F$19="",Summary!$F$19="NA",Summary!$F$19="N/A"),'Tracking &amp; Banking'!EG11/EG9,'Tracking &amp; Banking'!EG11/'Tracking &amp; Banking'!EG10)</f>
        <v>#DIV/0!</v>
      </c>
      <c r="EH12" s="150" t="e">
        <f>IF(OR(Summary!$F$19="",Summary!$F$19="NA",Summary!$F$19="N/A"),'Tracking &amp; Banking'!EH11/EH9,'Tracking &amp; Banking'!EH11/'Tracking &amp; Banking'!EH10)</f>
        <v>#DIV/0!</v>
      </c>
      <c r="EI12" s="150" t="e">
        <f>IF(OR(Summary!$F$19="",Summary!$F$19="NA",Summary!$F$19="N/A"),'Tracking &amp; Banking'!EI11/EI9,'Tracking &amp; Banking'!EI11/'Tracking &amp; Banking'!EI10)</f>
        <v>#DIV/0!</v>
      </c>
      <c r="EJ12" s="150" t="e">
        <f>IF(OR(Summary!$F$19="",Summary!$F$19="NA",Summary!$F$19="N/A"),'Tracking &amp; Banking'!EJ11/EJ9,'Tracking &amp; Banking'!EJ11/'Tracking &amp; Banking'!EJ10)</f>
        <v>#DIV/0!</v>
      </c>
      <c r="EK12" s="150" t="e">
        <f>IF(OR(Summary!$F$19="",Summary!$F$19="NA",Summary!$F$19="N/A"),'Tracking &amp; Banking'!EK11/EK9,'Tracking &amp; Banking'!EK11/'Tracking &amp; Banking'!EK10)</f>
        <v>#DIV/0!</v>
      </c>
      <c r="EL12" s="150" t="e">
        <f>IF(OR(Summary!$F$19="",Summary!$F$19="NA",Summary!$F$19="N/A"),'Tracking &amp; Banking'!EL11/EL9,'Tracking &amp; Banking'!EL11/'Tracking &amp; Banking'!EL10)</f>
        <v>#DIV/0!</v>
      </c>
      <c r="EM12" s="150" t="e">
        <f>IF(OR(Summary!$F$19="",Summary!$F$19="NA",Summary!$F$19="N/A"),'Tracking &amp; Banking'!EM11/EM9,'Tracking &amp; Banking'!EM11/'Tracking &amp; Banking'!EM10)</f>
        <v>#DIV/0!</v>
      </c>
      <c r="EN12" s="150" t="e">
        <f>IF(OR(Summary!$F$19="",Summary!$F$19="NA",Summary!$F$19="N/A"),'Tracking &amp; Banking'!EN11/EN9,'Tracking &amp; Banking'!EN11/'Tracking &amp; Banking'!EN10)</f>
        <v>#DIV/0!</v>
      </c>
      <c r="EO12" s="150" t="e">
        <f>IF(OR(Summary!$F$19="",Summary!$F$19="NA",Summary!$F$19="N/A"),'Tracking &amp; Banking'!EO11/EO9,'Tracking &amp; Banking'!EO11/'Tracking &amp; Banking'!EO10)</f>
        <v>#DIV/0!</v>
      </c>
      <c r="EP12" s="150" t="e">
        <f>IF(OR(Summary!$F$19="",Summary!$F$19="NA",Summary!$F$19="N/A"),'Tracking &amp; Banking'!EP11/EP9,'Tracking &amp; Banking'!EP11/'Tracking &amp; Banking'!EP10)</f>
        <v>#DIV/0!</v>
      </c>
      <c r="EQ12" s="150" t="e">
        <f>IF(OR(Summary!$F$19="",Summary!$F$19="NA",Summary!$F$19="N/A"),'Tracking &amp; Banking'!EQ11/EQ9,'Tracking &amp; Banking'!EQ11/'Tracking &amp; Banking'!EQ10)</f>
        <v>#DIV/0!</v>
      </c>
      <c r="ER12" s="150" t="e">
        <f>IF(OR(Summary!$F$19="",Summary!$F$19="NA",Summary!$F$19="N/A"),'Tracking &amp; Banking'!ER11/ER9,'Tracking &amp; Banking'!ER11/'Tracking &amp; Banking'!ER10)</f>
        <v>#DIV/0!</v>
      </c>
      <c r="ES12" s="150" t="e">
        <f>IF(OR(Summary!$F$19="",Summary!$F$19="NA",Summary!$F$19="N/A"),'Tracking &amp; Banking'!ES11/ES9,'Tracking &amp; Banking'!ES11/'Tracking &amp; Banking'!ES10)</f>
        <v>#DIV/0!</v>
      </c>
      <c r="ET12" s="150" t="e">
        <f>IF(OR(Summary!$F$19="",Summary!$F$19="NA",Summary!$F$19="N/A"),'Tracking &amp; Banking'!ET11/ET9,'Tracking &amp; Banking'!ET11/'Tracking &amp; Banking'!ET10)</f>
        <v>#DIV/0!</v>
      </c>
    </row>
    <row r="14" spans="3:150">
      <c r="C14" s="442" t="s">
        <v>153</v>
      </c>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41"/>
      <c r="AM14" s="441"/>
      <c r="AN14" s="441"/>
      <c r="AO14" s="441"/>
      <c r="AP14" s="441"/>
      <c r="AQ14" s="441"/>
      <c r="AR14" s="441"/>
      <c r="AS14" s="441"/>
      <c r="AT14" s="441"/>
      <c r="AU14" s="441"/>
      <c r="AV14" s="441"/>
      <c r="AW14" s="441"/>
      <c r="AX14" s="441"/>
      <c r="AY14" s="441"/>
      <c r="AZ14" s="441"/>
      <c r="BA14" s="441"/>
      <c r="BB14" s="441"/>
      <c r="BC14" s="441"/>
      <c r="BD14" s="441"/>
      <c r="BE14" s="441"/>
      <c r="BF14" s="441"/>
      <c r="BG14" s="441"/>
      <c r="BH14" s="441"/>
      <c r="BI14" s="441"/>
      <c r="BJ14" s="441"/>
      <c r="BK14" s="441"/>
      <c r="BL14" s="441"/>
      <c r="BM14" s="441"/>
      <c r="BN14" s="441"/>
      <c r="BO14" s="441"/>
      <c r="BP14" s="441"/>
      <c r="BQ14" s="441"/>
      <c r="BR14" s="441"/>
      <c r="BS14" s="441"/>
      <c r="BT14" s="441"/>
      <c r="BU14" s="441"/>
      <c r="BV14" s="441"/>
      <c r="BW14" s="441"/>
      <c r="BX14" s="441"/>
      <c r="BY14" s="441"/>
      <c r="BZ14" s="441"/>
      <c r="CA14" s="441"/>
      <c r="CB14" s="441"/>
      <c r="CC14" s="441"/>
      <c r="CD14" s="441"/>
      <c r="CE14" s="441"/>
      <c r="CF14" s="441"/>
      <c r="CG14" s="441"/>
      <c r="CH14" s="441"/>
      <c r="CI14" s="441"/>
      <c r="CJ14" s="441"/>
      <c r="CK14" s="441"/>
      <c r="CL14" s="441"/>
      <c r="CM14" s="441"/>
      <c r="CN14" s="441"/>
      <c r="CO14" s="441"/>
      <c r="CP14" s="441"/>
      <c r="CQ14" s="441"/>
      <c r="CR14" s="441"/>
      <c r="CS14" s="441"/>
      <c r="CT14" s="441"/>
      <c r="CU14" s="441"/>
      <c r="CV14" s="441"/>
      <c r="CW14" s="441"/>
      <c r="CX14" s="441"/>
      <c r="CY14" s="441"/>
      <c r="CZ14" s="441"/>
      <c r="DA14" s="441"/>
      <c r="DB14" s="441"/>
      <c r="DC14" s="441"/>
      <c r="DD14" s="441"/>
      <c r="DE14" s="441"/>
      <c r="DF14" s="441"/>
      <c r="DG14" s="441"/>
      <c r="DH14" s="441"/>
      <c r="DI14" s="441"/>
      <c r="DJ14" s="441"/>
      <c r="DK14" s="441"/>
      <c r="DL14" s="441"/>
      <c r="DM14" s="441"/>
      <c r="DN14" s="441"/>
      <c r="DO14" s="441"/>
      <c r="DP14" s="441"/>
      <c r="DQ14" s="441"/>
      <c r="DR14" s="441"/>
      <c r="DS14" s="441"/>
      <c r="DT14" s="441"/>
      <c r="DU14" s="441"/>
      <c r="DV14" s="441"/>
      <c r="DW14" s="441"/>
      <c r="DX14" s="441"/>
      <c r="DY14" s="441"/>
      <c r="DZ14" s="441"/>
      <c r="EA14" s="441"/>
      <c r="EB14" s="441"/>
      <c r="EC14" s="441"/>
      <c r="ED14" s="441"/>
      <c r="EE14" s="441"/>
      <c r="EF14" s="441"/>
      <c r="EG14" s="441"/>
      <c r="EH14" s="441"/>
      <c r="EI14" s="441"/>
      <c r="EJ14" s="441"/>
      <c r="EK14" s="441"/>
      <c r="EL14" s="441"/>
      <c r="EM14" s="441"/>
      <c r="EN14" s="441"/>
      <c r="EO14" s="441"/>
      <c r="EP14" s="441"/>
      <c r="EQ14" s="441"/>
      <c r="ER14" s="441"/>
      <c r="ES14" s="441"/>
      <c r="ET14" s="441"/>
    </row>
    <row r="15" spans="3:150">
      <c r="C15" s="444"/>
      <c r="D15" s="443"/>
      <c r="E15" s="445"/>
      <c r="F15" s="447">
        <f>$F$8</f>
        <v>42735</v>
      </c>
      <c r="G15" s="447">
        <f>EOMONTH(F15,1)</f>
        <v>42766</v>
      </c>
      <c r="H15" s="448">
        <f t="shared" ref="H15:AC15" si="111">EOMONTH(G15,1)</f>
        <v>42794</v>
      </c>
      <c r="I15" s="449">
        <f t="shared" si="111"/>
        <v>42825</v>
      </c>
      <c r="J15" s="450">
        <f t="shared" si="111"/>
        <v>42855</v>
      </c>
      <c r="K15" s="450">
        <f t="shared" si="111"/>
        <v>42886</v>
      </c>
      <c r="L15" s="450">
        <f t="shared" si="111"/>
        <v>42916</v>
      </c>
      <c r="M15" s="448">
        <f t="shared" si="111"/>
        <v>42947</v>
      </c>
      <c r="N15" s="449">
        <f t="shared" si="111"/>
        <v>42978</v>
      </c>
      <c r="O15" s="450">
        <f t="shared" si="111"/>
        <v>43008</v>
      </c>
      <c r="P15" s="450">
        <f t="shared" si="111"/>
        <v>43039</v>
      </c>
      <c r="Q15" s="450">
        <f t="shared" si="111"/>
        <v>43069</v>
      </c>
      <c r="R15" s="450">
        <f t="shared" si="111"/>
        <v>43100</v>
      </c>
      <c r="S15" s="450">
        <f t="shared" si="111"/>
        <v>43131</v>
      </c>
      <c r="T15" s="448">
        <f t="shared" si="111"/>
        <v>43159</v>
      </c>
      <c r="U15" s="449">
        <f t="shared" si="111"/>
        <v>43190</v>
      </c>
      <c r="V15" s="448">
        <f t="shared" si="111"/>
        <v>43220</v>
      </c>
      <c r="W15" s="449">
        <f t="shared" si="111"/>
        <v>43251</v>
      </c>
      <c r="X15" s="448">
        <f t="shared" si="111"/>
        <v>43281</v>
      </c>
      <c r="Y15" s="448">
        <f t="shared" si="111"/>
        <v>43312</v>
      </c>
      <c r="Z15" s="449">
        <f t="shared" si="111"/>
        <v>43343</v>
      </c>
      <c r="AA15" s="448">
        <f t="shared" si="111"/>
        <v>43373</v>
      </c>
      <c r="AB15" s="449">
        <f t="shared" si="111"/>
        <v>43404</v>
      </c>
      <c r="AC15" s="448">
        <f t="shared" si="111"/>
        <v>43434</v>
      </c>
      <c r="AD15" s="449">
        <f t="shared" ref="AD15" si="112">EOMONTH(AC15,1)</f>
        <v>43465</v>
      </c>
      <c r="AE15" s="448">
        <f>EOMONTH(AD15,1)</f>
        <v>43496</v>
      </c>
      <c r="AF15" s="448">
        <f t="shared" ref="AF15:AP15" si="113">EOMONTH(AE15,1)</f>
        <v>43524</v>
      </c>
      <c r="AG15" s="448">
        <f t="shared" si="113"/>
        <v>43555</v>
      </c>
      <c r="AH15" s="448">
        <f t="shared" si="113"/>
        <v>43585</v>
      </c>
      <c r="AI15" s="448">
        <f t="shared" si="113"/>
        <v>43616</v>
      </c>
      <c r="AJ15" s="448">
        <f t="shared" si="113"/>
        <v>43646</v>
      </c>
      <c r="AK15" s="448">
        <f t="shared" si="113"/>
        <v>43677</v>
      </c>
      <c r="AL15" s="448">
        <f t="shared" si="113"/>
        <v>43708</v>
      </c>
      <c r="AM15" s="448">
        <f t="shared" si="113"/>
        <v>43738</v>
      </c>
      <c r="AN15" s="448">
        <f t="shared" si="113"/>
        <v>43769</v>
      </c>
      <c r="AO15" s="448">
        <f t="shared" si="113"/>
        <v>43799</v>
      </c>
      <c r="AP15" s="448">
        <f t="shared" si="113"/>
        <v>43830</v>
      </c>
      <c r="AQ15" s="448">
        <f t="shared" ref="AQ15" si="114">EOMONTH(AP15,1)</f>
        <v>43861</v>
      </c>
      <c r="AR15" s="448">
        <f t="shared" ref="AR15" si="115">EOMONTH(AQ15,1)</f>
        <v>43890</v>
      </c>
      <c r="AS15" s="448">
        <f t="shared" ref="AS15" si="116">EOMONTH(AR15,1)</f>
        <v>43921</v>
      </c>
      <c r="AT15" s="448">
        <f t="shared" ref="AT15" si="117">EOMONTH(AS15,1)</f>
        <v>43951</v>
      </c>
      <c r="AU15" s="448">
        <f t="shared" ref="AU15" si="118">EOMONTH(AT15,1)</f>
        <v>43982</v>
      </c>
      <c r="AV15" s="448">
        <f t="shared" ref="AV15" si="119">EOMONTH(AU15,1)</f>
        <v>44012</v>
      </c>
      <c r="AW15" s="448">
        <f t="shared" ref="AW15" si="120">EOMONTH(AV15,1)</f>
        <v>44043</v>
      </c>
      <c r="AX15" s="448">
        <f t="shared" ref="AX15" si="121">EOMONTH(AW15,1)</f>
        <v>44074</v>
      </c>
      <c r="AY15" s="448">
        <f t="shared" ref="AY15" si="122">EOMONTH(AX15,1)</f>
        <v>44104</v>
      </c>
      <c r="AZ15" s="448">
        <f t="shared" ref="AZ15" si="123">EOMONTH(AY15,1)</f>
        <v>44135</v>
      </c>
      <c r="BA15" s="448">
        <f t="shared" ref="BA15" si="124">EOMONTH(AZ15,1)</f>
        <v>44165</v>
      </c>
      <c r="BB15" s="448">
        <f t="shared" ref="BB15" si="125">EOMONTH(BA15,1)</f>
        <v>44196</v>
      </c>
      <c r="BC15" s="448">
        <f t="shared" ref="BC15" si="126">EOMONTH(BB15,1)</f>
        <v>44227</v>
      </c>
      <c r="BD15" s="448">
        <f t="shared" ref="BD15" si="127">EOMONTH(BC15,1)</f>
        <v>44255</v>
      </c>
      <c r="BE15" s="448">
        <f t="shared" ref="BE15" si="128">EOMONTH(BD15,1)</f>
        <v>44286</v>
      </c>
      <c r="BF15" s="448">
        <f t="shared" ref="BF15" si="129">EOMONTH(BE15,1)</f>
        <v>44316</v>
      </c>
      <c r="BG15" s="448">
        <f t="shared" ref="BG15" si="130">EOMONTH(BF15,1)</f>
        <v>44347</v>
      </c>
      <c r="BH15" s="448">
        <f t="shared" ref="BH15" si="131">EOMONTH(BG15,1)</f>
        <v>44377</v>
      </c>
      <c r="BI15" s="448">
        <f t="shared" ref="BI15" si="132">EOMONTH(BH15,1)</f>
        <v>44408</v>
      </c>
      <c r="BJ15" s="448">
        <f t="shared" ref="BJ15" si="133">EOMONTH(BI15,1)</f>
        <v>44439</v>
      </c>
      <c r="BK15" s="448">
        <f t="shared" ref="BK15" si="134">EOMONTH(BJ15,1)</f>
        <v>44469</v>
      </c>
      <c r="BL15" s="448">
        <f t="shared" ref="BL15" si="135">EOMONTH(BK15,1)</f>
        <v>44500</v>
      </c>
      <c r="BM15" s="448">
        <f t="shared" ref="BM15" si="136">EOMONTH(BL15,1)</f>
        <v>44530</v>
      </c>
      <c r="BN15" s="448">
        <f t="shared" ref="BN15" si="137">EOMONTH(BM15,1)</f>
        <v>44561</v>
      </c>
      <c r="BO15" s="448">
        <f t="shared" ref="BO15" si="138">EOMONTH(BN15,1)</f>
        <v>44592</v>
      </c>
      <c r="BP15" s="448">
        <f t="shared" ref="BP15" si="139">EOMONTH(BO15,1)</f>
        <v>44620</v>
      </c>
      <c r="BQ15" s="448">
        <f t="shared" ref="BQ15" si="140">EOMONTH(BP15,1)</f>
        <v>44651</v>
      </c>
      <c r="BR15" s="448">
        <f t="shared" ref="BR15" si="141">EOMONTH(BQ15,1)</f>
        <v>44681</v>
      </c>
      <c r="BS15" s="448">
        <f t="shared" ref="BS15" si="142">EOMONTH(BR15,1)</f>
        <v>44712</v>
      </c>
      <c r="BT15" s="448">
        <f t="shared" ref="BT15" si="143">EOMONTH(BS15,1)</f>
        <v>44742</v>
      </c>
      <c r="BU15" s="448">
        <f t="shared" ref="BU15" si="144">EOMONTH(BT15,1)</f>
        <v>44773</v>
      </c>
      <c r="BV15" s="448">
        <f t="shared" ref="BV15" si="145">EOMONTH(BU15,1)</f>
        <v>44804</v>
      </c>
      <c r="BW15" s="448">
        <f t="shared" ref="BW15" si="146">EOMONTH(BV15,1)</f>
        <v>44834</v>
      </c>
      <c r="BX15" s="448">
        <f t="shared" ref="BX15" si="147">EOMONTH(BW15,1)</f>
        <v>44865</v>
      </c>
      <c r="BY15" s="448">
        <f t="shared" ref="BY15" si="148">EOMONTH(BX15,1)</f>
        <v>44895</v>
      </c>
      <c r="BZ15" s="448">
        <f t="shared" ref="BZ15" si="149">EOMONTH(BY15,1)</f>
        <v>44926</v>
      </c>
      <c r="CA15" s="448">
        <f t="shared" ref="CA15" si="150">EOMONTH(BZ15,1)</f>
        <v>44957</v>
      </c>
      <c r="CB15" s="448">
        <f t="shared" ref="CB15" si="151">EOMONTH(CA15,1)</f>
        <v>44985</v>
      </c>
      <c r="CC15" s="448">
        <f t="shared" ref="CC15:CG15" si="152">EOMONTH(CB15,1)</f>
        <v>45016</v>
      </c>
      <c r="CD15" s="448">
        <f t="shared" ref="CD15:CF15" si="153">EOMONTH(CC15,1)</f>
        <v>45046</v>
      </c>
      <c r="CE15" s="448">
        <f t="shared" si="152"/>
        <v>45077</v>
      </c>
      <c r="CF15" s="448">
        <f t="shared" si="153"/>
        <v>45107</v>
      </c>
      <c r="CG15" s="448">
        <f t="shared" si="152"/>
        <v>45138</v>
      </c>
      <c r="CH15" s="448">
        <f t="shared" ref="CH15" si="154">EOMONTH(CG15,1)</f>
        <v>45169</v>
      </c>
      <c r="CI15" s="448">
        <f t="shared" ref="CI15" si="155">EOMONTH(CH15,1)</f>
        <v>45199</v>
      </c>
      <c r="CJ15" s="448">
        <f t="shared" ref="CJ15" si="156">EOMONTH(CI15,1)</f>
        <v>45230</v>
      </c>
      <c r="CK15" s="448">
        <f t="shared" ref="CK15" si="157">EOMONTH(CJ15,1)</f>
        <v>45260</v>
      </c>
      <c r="CL15" s="448">
        <f t="shared" ref="CL15" si="158">EOMONTH(CK15,1)</f>
        <v>45291</v>
      </c>
      <c r="CM15" s="448">
        <f t="shared" ref="CM15" si="159">EOMONTH(CL15,1)</f>
        <v>45322</v>
      </c>
      <c r="CN15" s="448">
        <f t="shared" ref="CN15" si="160">EOMONTH(CM15,1)</f>
        <v>45351</v>
      </c>
      <c r="CO15" s="448">
        <f t="shared" ref="CO15" si="161">EOMONTH(CN15,1)</f>
        <v>45382</v>
      </c>
      <c r="CP15" s="448">
        <f t="shared" ref="CP15" si="162">EOMONTH(CO15,1)</f>
        <v>45412</v>
      </c>
      <c r="CQ15" s="448">
        <f t="shared" ref="CQ15" si="163">EOMONTH(CP15,1)</f>
        <v>45443</v>
      </c>
      <c r="CR15" s="448">
        <f t="shared" ref="CR15" si="164">EOMONTH(CQ15,1)</f>
        <v>45473</v>
      </c>
      <c r="CS15" s="448">
        <f t="shared" ref="CS15" si="165">EOMONTH(CR15,1)</f>
        <v>45504</v>
      </c>
      <c r="CT15" s="448">
        <f t="shared" ref="CT15" si="166">EOMONTH(CS15,1)</f>
        <v>45535</v>
      </c>
      <c r="CU15" s="448">
        <f t="shared" ref="CU15" si="167">EOMONTH(CT15,1)</f>
        <v>45565</v>
      </c>
      <c r="CV15" s="448">
        <f t="shared" ref="CV15" si="168">EOMONTH(CU15,1)</f>
        <v>45596</v>
      </c>
      <c r="CW15" s="448">
        <f t="shared" ref="CW15" si="169">EOMONTH(CV15,1)</f>
        <v>45626</v>
      </c>
      <c r="CX15" s="448">
        <f t="shared" ref="CX15" si="170">EOMONTH(CW15,1)</f>
        <v>45657</v>
      </c>
      <c r="CY15" s="448">
        <f t="shared" ref="CY15" si="171">EOMONTH(CX15,1)</f>
        <v>45688</v>
      </c>
      <c r="CZ15" s="448">
        <f t="shared" ref="CZ15" si="172">EOMONTH(CY15,1)</f>
        <v>45716</v>
      </c>
      <c r="DA15" s="448">
        <f t="shared" ref="DA15" si="173">EOMONTH(CZ15,1)</f>
        <v>45747</v>
      </c>
      <c r="DB15" s="448">
        <f t="shared" ref="DB15" si="174">EOMONTH(DA15,1)</f>
        <v>45777</v>
      </c>
      <c r="DC15" s="448">
        <f t="shared" ref="DC15" si="175">EOMONTH(DB15,1)</f>
        <v>45808</v>
      </c>
      <c r="DD15" s="448">
        <f t="shared" ref="DD15" si="176">EOMONTH(DC15,1)</f>
        <v>45838</v>
      </c>
      <c r="DE15" s="448">
        <f t="shared" ref="DE15" si="177">EOMONTH(DD15,1)</f>
        <v>45869</v>
      </c>
      <c r="DF15" s="448">
        <f t="shared" ref="DF15" si="178">EOMONTH(DE15,1)</f>
        <v>45900</v>
      </c>
      <c r="DG15" s="448">
        <f t="shared" ref="DG15" si="179">EOMONTH(DF15,1)</f>
        <v>45930</v>
      </c>
      <c r="DH15" s="448">
        <f t="shared" ref="DH15" si="180">EOMONTH(DG15,1)</f>
        <v>45961</v>
      </c>
      <c r="DI15" s="448">
        <f t="shared" ref="DI15" si="181">EOMONTH(DH15,1)</f>
        <v>45991</v>
      </c>
      <c r="DJ15" s="448">
        <f t="shared" ref="DJ15" si="182">EOMONTH(DI15,1)</f>
        <v>46022</v>
      </c>
      <c r="DK15" s="448">
        <f t="shared" ref="DK15" si="183">EOMONTH(DJ15,1)</f>
        <v>46053</v>
      </c>
      <c r="DL15" s="448">
        <f t="shared" ref="DL15" si="184">EOMONTH(DK15,1)</f>
        <v>46081</v>
      </c>
      <c r="DM15" s="448">
        <f t="shared" ref="DM15" si="185">EOMONTH(DL15,1)</f>
        <v>46112</v>
      </c>
      <c r="DN15" s="448">
        <f t="shared" ref="DN15" si="186">EOMONTH(DM15,1)</f>
        <v>46142</v>
      </c>
      <c r="DO15" s="448">
        <f t="shared" ref="DO15" si="187">EOMONTH(DN15,1)</f>
        <v>46173</v>
      </c>
      <c r="DP15" s="448">
        <f t="shared" ref="DP15" si="188">EOMONTH(DO15,1)</f>
        <v>46203</v>
      </c>
      <c r="DQ15" s="448">
        <f t="shared" ref="DQ15" si="189">EOMONTH(DP15,1)</f>
        <v>46234</v>
      </c>
      <c r="DR15" s="448">
        <f t="shared" ref="DR15" si="190">EOMONTH(DQ15,1)</f>
        <v>46265</v>
      </c>
      <c r="DS15" s="448">
        <f t="shared" ref="DS15" si="191">EOMONTH(DR15,1)</f>
        <v>46295</v>
      </c>
      <c r="DT15" s="448">
        <f t="shared" ref="DT15" si="192">EOMONTH(DS15,1)</f>
        <v>46326</v>
      </c>
      <c r="DU15" s="448">
        <f t="shared" ref="DU15" si="193">EOMONTH(DT15,1)</f>
        <v>46356</v>
      </c>
      <c r="DV15" s="448">
        <f t="shared" ref="DV15" si="194">EOMONTH(DU15,1)</f>
        <v>46387</v>
      </c>
      <c r="DW15" s="448">
        <f t="shared" ref="DW15" si="195">EOMONTH(DV15,1)</f>
        <v>46418</v>
      </c>
      <c r="DX15" s="448">
        <f t="shared" ref="DX15" si="196">EOMONTH(DW15,1)</f>
        <v>46446</v>
      </c>
      <c r="DY15" s="448">
        <f t="shared" ref="DY15" si="197">EOMONTH(DX15,1)</f>
        <v>46477</v>
      </c>
      <c r="DZ15" s="448">
        <f t="shared" ref="DZ15" si="198">EOMONTH(DY15,1)</f>
        <v>46507</v>
      </c>
      <c r="EA15" s="448">
        <f t="shared" ref="EA15" si="199">EOMONTH(DZ15,1)</f>
        <v>46538</v>
      </c>
      <c r="EB15" s="448">
        <f t="shared" ref="EB15" si="200">EOMONTH(EA15,1)</f>
        <v>46568</v>
      </c>
      <c r="EC15" s="448">
        <f t="shared" ref="EC15" si="201">EOMONTH(EB15,1)</f>
        <v>46599</v>
      </c>
      <c r="ED15" s="448">
        <f t="shared" ref="ED15" si="202">EOMONTH(EC15,1)</f>
        <v>46630</v>
      </c>
      <c r="EE15" s="448">
        <f t="shared" ref="EE15" si="203">EOMONTH(ED15,1)</f>
        <v>46660</v>
      </c>
      <c r="EF15" s="448">
        <f t="shared" ref="EF15" si="204">EOMONTH(EE15,1)</f>
        <v>46691</v>
      </c>
      <c r="EG15" s="448">
        <f t="shared" ref="EG15" si="205">EOMONTH(EF15,1)</f>
        <v>46721</v>
      </c>
      <c r="EH15" s="448">
        <f t="shared" ref="EH15" si="206">EOMONTH(EG15,1)</f>
        <v>46752</v>
      </c>
      <c r="EI15" s="448">
        <f t="shared" ref="EI15" si="207">EOMONTH(EH15,1)</f>
        <v>46783</v>
      </c>
      <c r="EJ15" s="448">
        <f t="shared" ref="EJ15" si="208">EOMONTH(EI15,1)</f>
        <v>46812</v>
      </c>
      <c r="EK15" s="448">
        <f t="shared" ref="EK15" si="209">EOMONTH(EJ15,1)</f>
        <v>46843</v>
      </c>
      <c r="EL15" s="448">
        <f t="shared" ref="EL15" si="210">EOMONTH(EK15,1)</f>
        <v>46873</v>
      </c>
      <c r="EM15" s="448">
        <f t="shared" ref="EM15" si="211">EOMONTH(EL15,1)</f>
        <v>46904</v>
      </c>
      <c r="EN15" s="448">
        <f t="shared" ref="EN15" si="212">EOMONTH(EM15,1)</f>
        <v>46934</v>
      </c>
      <c r="EO15" s="448">
        <f t="shared" ref="EO15" si="213">EOMONTH(EN15,1)</f>
        <v>46965</v>
      </c>
      <c r="EP15" s="448">
        <f t="shared" ref="EP15" si="214">EOMONTH(EO15,1)</f>
        <v>46996</v>
      </c>
      <c r="EQ15" s="448">
        <f t="shared" ref="EQ15" si="215">EOMONTH(EP15,1)</f>
        <v>47026</v>
      </c>
      <c r="ER15" s="448">
        <f t="shared" ref="ER15" si="216">EOMONTH(EQ15,1)</f>
        <v>47057</v>
      </c>
      <c r="ES15" s="448">
        <f t="shared" ref="ES15" si="217">EOMONTH(ER15,1)</f>
        <v>47087</v>
      </c>
      <c r="ET15" s="448">
        <f t="shared" ref="ET15" si="218">EOMONTH(ES15,1)</f>
        <v>47118</v>
      </c>
    </row>
    <row r="16" spans="3:150" ht="15" customHeight="1">
      <c r="C16" s="777" t="s">
        <v>442</v>
      </c>
      <c r="D16" s="778"/>
      <c r="E16" s="509" t="s">
        <v>154</v>
      </c>
      <c r="F16" s="152"/>
      <c r="G16" s="152">
        <f>G11</f>
        <v>25324675</v>
      </c>
      <c r="H16" s="152">
        <f t="shared" ref="H16:U16" si="219">H11</f>
        <v>37687500</v>
      </c>
      <c r="I16" s="152">
        <f t="shared" si="219"/>
        <v>39375000</v>
      </c>
      <c r="J16" s="152">
        <f t="shared" si="219"/>
        <v>41062500</v>
      </c>
      <c r="K16" s="152">
        <f t="shared" si="219"/>
        <v>32083333</v>
      </c>
      <c r="L16" s="152">
        <f t="shared" si="219"/>
        <v>30833333</v>
      </c>
      <c r="M16" s="152">
        <f t="shared" si="219"/>
        <v>31666667</v>
      </c>
      <c r="N16" s="152">
        <f t="shared" si="219"/>
        <v>31666667</v>
      </c>
      <c r="O16" s="152">
        <f t="shared" si="219"/>
        <v>32500000</v>
      </c>
      <c r="P16" s="152">
        <f t="shared" si="219"/>
        <v>32500000</v>
      </c>
      <c r="Q16" s="152">
        <f t="shared" si="219"/>
        <v>34166667</v>
      </c>
      <c r="R16" s="152">
        <f t="shared" si="219"/>
        <v>33333333</v>
      </c>
      <c r="S16" s="152">
        <f t="shared" si="219"/>
        <v>35833333</v>
      </c>
      <c r="T16" s="152">
        <f t="shared" si="219"/>
        <v>42500000</v>
      </c>
      <c r="U16" s="152">
        <f t="shared" si="219"/>
        <v>42500000</v>
      </c>
      <c r="V16" s="152">
        <f t="shared" ref="V16:W16" si="220">V11</f>
        <v>42500000</v>
      </c>
      <c r="W16" s="152">
        <f t="shared" si="220"/>
        <v>34000000</v>
      </c>
      <c r="X16" s="152">
        <f t="shared" ref="X16:Y16" si="221">X11</f>
        <v>33000000</v>
      </c>
      <c r="Y16" s="152">
        <f t="shared" si="221"/>
        <v>19586667</v>
      </c>
      <c r="Z16" s="152">
        <f t="shared" ref="Z16:AA16" si="222">Z11</f>
        <v>17920000</v>
      </c>
      <c r="AA16" s="152">
        <f t="shared" si="222"/>
        <v>17920000</v>
      </c>
      <c r="AB16" s="152">
        <f t="shared" ref="AB16:AC16" si="223">AB11</f>
        <v>20888235</v>
      </c>
      <c r="AC16" s="152">
        <f t="shared" si="223"/>
        <v>22605735</v>
      </c>
      <c r="AD16" s="152">
        <f t="shared" ref="AD16:AE16" si="224">AD11</f>
        <v>20201235</v>
      </c>
      <c r="AE16" s="152">
        <f t="shared" si="224"/>
        <v>23292735</v>
      </c>
      <c r="AF16" s="152">
        <f t="shared" ref="AF16:AG16" si="225">AF11</f>
        <v>23292735</v>
      </c>
      <c r="AG16" s="152">
        <f t="shared" si="225"/>
        <v>21657675</v>
      </c>
      <c r="AH16" s="152">
        <f t="shared" ref="AH16" si="226">AH11</f>
        <v>23014500</v>
      </c>
      <c r="AI16" s="152">
        <f t="shared" ref="AI16:AJ16" si="227">AI11</f>
        <v>22909091</v>
      </c>
      <c r="AJ16" s="152">
        <f t="shared" si="227"/>
        <v>22181818</v>
      </c>
      <c r="AK16" s="152">
        <f t="shared" ref="AK16:AL16" si="228">AK11</f>
        <v>24494585</v>
      </c>
      <c r="AL16" s="152">
        <f t="shared" si="228"/>
        <v>26046252</v>
      </c>
      <c r="AM16" s="152">
        <f t="shared" ref="AM16:AN16" si="229">AM11</f>
        <v>28386729</v>
      </c>
      <c r="AN16" s="152">
        <f t="shared" si="229"/>
        <v>30754542</v>
      </c>
      <c r="AO16" s="152">
        <f t="shared" ref="AO16" si="230">AO11</f>
        <v>35493009</v>
      </c>
      <c r="AP16" s="152">
        <f t="shared" ref="AP16:AQ16" si="231">AP11</f>
        <v>28276434</v>
      </c>
      <c r="AQ16" s="152">
        <f t="shared" si="231"/>
        <v>30498234</v>
      </c>
      <c r="AR16" s="152">
        <f t="shared" ref="AR16:AS16" si="232">AR11</f>
        <v>29481342</v>
      </c>
      <c r="AS16" s="152">
        <f t="shared" si="232"/>
        <v>32038458</v>
      </c>
      <c r="AT16" s="152">
        <f t="shared" ref="AT16:AU16" si="233">AT11</f>
        <v>28499997</v>
      </c>
      <c r="AU16" s="152">
        <f t="shared" si="233"/>
        <v>24253843</v>
      </c>
      <c r="AV16" s="152">
        <f t="shared" ref="AV16:AW16" si="234">AV11</f>
        <v>21059239</v>
      </c>
      <c r="AW16" s="152">
        <f t="shared" si="234"/>
        <v>21812436</v>
      </c>
      <c r="AX16" s="152">
        <f t="shared" ref="AX16:AY16" si="235">AX11</f>
        <v>21897018</v>
      </c>
      <c r="AY16" s="152">
        <f t="shared" si="235"/>
        <v>24600314</v>
      </c>
      <c r="AZ16" s="152">
        <f t="shared" ref="AZ16:BA16" si="236">AZ11</f>
        <v>26259123</v>
      </c>
      <c r="BA16" s="152">
        <f t="shared" si="236"/>
        <v>27018859</v>
      </c>
      <c r="BB16" s="152">
        <f t="shared" ref="BB16" si="237">BB11</f>
        <v>24188090</v>
      </c>
      <c r="BC16" s="152">
        <f t="shared" ref="BC16:BD16" si="238">BC11</f>
        <v>14152362</v>
      </c>
      <c r="BD16" s="152">
        <f t="shared" si="238"/>
        <v>15371317</v>
      </c>
      <c r="BE16" s="152">
        <f t="shared" ref="BE16" si="239">BE11</f>
        <v>10365218</v>
      </c>
      <c r="BF16" s="152">
        <f>BF11</f>
        <v>8183803</v>
      </c>
      <c r="BG16" s="152">
        <f t="shared" ref="BG16" si="240">BG11</f>
        <v>13783880</v>
      </c>
      <c r="BH16" s="152">
        <f>BH11</f>
        <v>17740</v>
      </c>
      <c r="BI16" s="152">
        <f t="shared" ref="BI16:BJ16" si="241">BI11</f>
        <v>20723626</v>
      </c>
      <c r="BJ16" s="152">
        <f t="shared" si="241"/>
        <v>20637257</v>
      </c>
      <c r="BK16" s="152">
        <f>BK11</f>
        <v>25450730</v>
      </c>
      <c r="BL16" s="152">
        <f t="shared" ref="BL16:BM16" si="242">BL11</f>
        <v>29307673</v>
      </c>
      <c r="BM16" s="152">
        <f t="shared" si="242"/>
        <v>30078798</v>
      </c>
      <c r="BN16" s="152">
        <f t="shared" ref="BN16:BP16" si="243">BN11</f>
        <v>34269089</v>
      </c>
      <c r="BO16" s="152">
        <f t="shared" si="243"/>
        <v>37446159</v>
      </c>
      <c r="BP16" s="152">
        <f t="shared" si="243"/>
        <v>41943228</v>
      </c>
      <c r="BQ16" s="152">
        <f t="shared" ref="BQ16:BS16" si="244">BQ11</f>
        <v>46268373</v>
      </c>
      <c r="BR16" s="152">
        <f t="shared" si="244"/>
        <v>51178112</v>
      </c>
      <c r="BS16" s="152">
        <f t="shared" si="244"/>
        <v>51575440</v>
      </c>
      <c r="BT16" s="152">
        <f t="shared" ref="BT16:DM16" si="245">BT11</f>
        <v>59223855</v>
      </c>
      <c r="BU16" s="152">
        <f t="shared" si="245"/>
        <v>63140926</v>
      </c>
      <c r="BV16" s="152">
        <f t="shared" si="245"/>
        <v>67271958.879999995</v>
      </c>
      <c r="BW16" s="152">
        <f t="shared" si="245"/>
        <v>64248812.590000004</v>
      </c>
      <c r="BX16" s="152">
        <f t="shared" si="245"/>
        <v>62877432.409999996</v>
      </c>
      <c r="BY16" s="152">
        <f t="shared" si="245"/>
        <v>62724444</v>
      </c>
      <c r="BZ16" s="152">
        <f t="shared" si="245"/>
        <v>56478417.479999997</v>
      </c>
      <c r="CA16" s="152">
        <f t="shared" si="245"/>
        <v>56756922.359999999</v>
      </c>
      <c r="CB16" s="152">
        <f t="shared" si="245"/>
        <v>54351098.829999998</v>
      </c>
      <c r="CC16" s="152">
        <f t="shared" si="245"/>
        <v>51282917.5</v>
      </c>
      <c r="CD16" s="152">
        <f t="shared" si="245"/>
        <v>54518775.340000004</v>
      </c>
      <c r="CE16" s="152">
        <f t="shared" ref="CE16:CF16" si="246">CE11</f>
        <v>51487450.82</v>
      </c>
      <c r="CF16" s="152">
        <f t="shared" si="246"/>
        <v>51453166.149999999</v>
      </c>
      <c r="CG16" s="152">
        <f t="shared" ref="CG16" si="247">CG11</f>
        <v>54745213.880000003</v>
      </c>
      <c r="CH16" s="152">
        <f t="shared" si="245"/>
        <v>53076817.149999999</v>
      </c>
      <c r="CI16" s="152">
        <f t="shared" si="245"/>
        <v>57354718.850000001</v>
      </c>
      <c r="CJ16" s="152">
        <f t="shared" si="245"/>
        <v>63047522.670000002</v>
      </c>
      <c r="CK16" s="152">
        <f t="shared" si="245"/>
        <v>38677778.009999998</v>
      </c>
      <c r="CL16" s="152">
        <f t="shared" si="245"/>
        <v>39908684.68</v>
      </c>
      <c r="CM16" s="152">
        <f t="shared" si="245"/>
        <v>41775287.159999996</v>
      </c>
      <c r="CN16" s="152">
        <f t="shared" si="245"/>
        <v>44598139.119999997</v>
      </c>
      <c r="CO16" s="152">
        <f t="shared" si="245"/>
        <v>46503258.130000003</v>
      </c>
      <c r="CP16" s="152">
        <f t="shared" si="245"/>
        <v>50302008</v>
      </c>
      <c r="CQ16" s="152">
        <f t="shared" si="245"/>
        <v>50199632</v>
      </c>
      <c r="CR16" s="152">
        <f t="shared" si="245"/>
        <v>53745236</v>
      </c>
      <c r="CS16" s="152">
        <f t="shared" si="245"/>
        <v>56312798</v>
      </c>
      <c r="CT16" s="152">
        <f t="shared" si="245"/>
        <v>59054271</v>
      </c>
      <c r="CU16" s="152">
        <f t="shared" si="245"/>
        <v>59325164</v>
      </c>
      <c r="CV16" s="152">
        <f t="shared" si="245"/>
        <v>56440188</v>
      </c>
      <c r="CW16" s="152">
        <f t="shared" si="245"/>
        <v>31432819</v>
      </c>
      <c r="CX16" s="152">
        <f t="shared" si="245"/>
        <v>31853373.469999999</v>
      </c>
      <c r="CY16" s="152">
        <f t="shared" si="245"/>
        <v>31685516</v>
      </c>
      <c r="CZ16" s="152">
        <f t="shared" si="245"/>
        <v>36596097</v>
      </c>
      <c r="DA16" s="152">
        <f t="shared" si="245"/>
        <v>38232699</v>
      </c>
      <c r="DB16" s="152">
        <f t="shared" si="245"/>
        <v>40856994</v>
      </c>
      <c r="DC16" s="152">
        <f t="shared" si="245"/>
        <v>44303825</v>
      </c>
      <c r="DD16" s="152">
        <f t="shared" si="245"/>
        <v>46888771</v>
      </c>
      <c r="DE16" s="152">
        <f t="shared" si="245"/>
        <v>43805040</v>
      </c>
      <c r="DF16" s="152">
        <f t="shared" si="245"/>
        <v>44746468</v>
      </c>
      <c r="DG16" s="152">
        <f t="shared" si="245"/>
        <v>44436299</v>
      </c>
      <c r="DH16" s="152">
        <f t="shared" si="245"/>
        <v>42632991</v>
      </c>
      <c r="DI16" s="152">
        <f t="shared" si="245"/>
        <v>40189535.520000003</v>
      </c>
      <c r="DJ16" s="152">
        <f t="shared" si="245"/>
        <v>34672946</v>
      </c>
      <c r="DK16" s="152">
        <f t="shared" si="245"/>
        <v>38907904</v>
      </c>
      <c r="DL16" s="152">
        <f t="shared" si="245"/>
        <v>39945621</v>
      </c>
      <c r="DM16" s="152">
        <f t="shared" si="245"/>
        <v>40821270</v>
      </c>
      <c r="DN16" s="152">
        <f t="shared" ref="DN16:ET16" si="248">DN11</f>
        <v>39025892.119999997</v>
      </c>
      <c r="DO16" s="152">
        <f t="shared" si="248"/>
        <v>33523004</v>
      </c>
      <c r="DP16" s="152">
        <f t="shared" si="248"/>
        <v>0</v>
      </c>
      <c r="DQ16" s="152">
        <f t="shared" si="248"/>
        <v>0</v>
      </c>
      <c r="DR16" s="152">
        <f t="shared" si="248"/>
        <v>0</v>
      </c>
      <c r="DS16" s="152">
        <f t="shared" si="248"/>
        <v>0</v>
      </c>
      <c r="DT16" s="152">
        <f t="shared" si="248"/>
        <v>0</v>
      </c>
      <c r="DU16" s="152">
        <f t="shared" si="248"/>
        <v>0</v>
      </c>
      <c r="DV16" s="152">
        <f t="shared" si="248"/>
        <v>0</v>
      </c>
      <c r="DW16" s="152">
        <f t="shared" si="248"/>
        <v>0</v>
      </c>
      <c r="DX16" s="152">
        <f t="shared" si="248"/>
        <v>0</v>
      </c>
      <c r="DY16" s="152">
        <f t="shared" si="248"/>
        <v>0</v>
      </c>
      <c r="DZ16" s="152">
        <f t="shared" si="248"/>
        <v>0</v>
      </c>
      <c r="EA16" s="152">
        <f t="shared" si="248"/>
        <v>0</v>
      </c>
      <c r="EB16" s="152">
        <f t="shared" si="248"/>
        <v>0</v>
      </c>
      <c r="EC16" s="152">
        <f t="shared" si="248"/>
        <v>0</v>
      </c>
      <c r="ED16" s="152">
        <f t="shared" si="248"/>
        <v>0</v>
      </c>
      <c r="EE16" s="152">
        <f t="shared" si="248"/>
        <v>0</v>
      </c>
      <c r="EF16" s="152">
        <f t="shared" si="248"/>
        <v>0</v>
      </c>
      <c r="EG16" s="152">
        <f t="shared" si="248"/>
        <v>0</v>
      </c>
      <c r="EH16" s="152">
        <f t="shared" si="248"/>
        <v>0</v>
      </c>
      <c r="EI16" s="152">
        <f t="shared" si="248"/>
        <v>0</v>
      </c>
      <c r="EJ16" s="152">
        <f t="shared" si="248"/>
        <v>0</v>
      </c>
      <c r="EK16" s="152">
        <f t="shared" si="248"/>
        <v>0</v>
      </c>
      <c r="EL16" s="152">
        <f t="shared" si="248"/>
        <v>0</v>
      </c>
      <c r="EM16" s="152">
        <f t="shared" si="248"/>
        <v>0</v>
      </c>
      <c r="EN16" s="152">
        <f t="shared" si="248"/>
        <v>0</v>
      </c>
      <c r="EO16" s="152">
        <f t="shared" si="248"/>
        <v>0</v>
      </c>
      <c r="EP16" s="152">
        <f t="shared" si="248"/>
        <v>0</v>
      </c>
      <c r="EQ16" s="152">
        <f t="shared" si="248"/>
        <v>0</v>
      </c>
      <c r="ER16" s="152">
        <f t="shared" si="248"/>
        <v>0</v>
      </c>
      <c r="ES16" s="152">
        <f t="shared" si="248"/>
        <v>0</v>
      </c>
      <c r="ET16" s="152">
        <f t="shared" si="248"/>
        <v>0</v>
      </c>
    </row>
    <row r="17" spans="3:150">
      <c r="C17" s="143"/>
      <c r="D17" s="282" t="s">
        <v>155</v>
      </c>
      <c r="E17" s="283" t="s">
        <v>154</v>
      </c>
      <c r="F17" s="152"/>
      <c r="G17" s="146">
        <v>0</v>
      </c>
      <c r="H17" s="146">
        <v>0</v>
      </c>
      <c r="I17" s="146">
        <v>0</v>
      </c>
      <c r="J17" s="146">
        <v>0</v>
      </c>
      <c r="K17" s="146">
        <v>0</v>
      </c>
      <c r="L17" s="146">
        <v>0</v>
      </c>
      <c r="M17" s="146">
        <v>0</v>
      </c>
      <c r="N17" s="146">
        <v>0</v>
      </c>
      <c r="O17" s="146">
        <v>0</v>
      </c>
      <c r="P17" s="146">
        <v>0</v>
      </c>
      <c r="Q17" s="146">
        <v>0</v>
      </c>
      <c r="R17" s="146">
        <v>0</v>
      </c>
      <c r="S17" s="146">
        <v>0</v>
      </c>
      <c r="T17" s="146">
        <v>0</v>
      </c>
      <c r="U17" s="146">
        <v>0</v>
      </c>
      <c r="V17" s="146">
        <v>0</v>
      </c>
      <c r="W17" s="146">
        <v>0</v>
      </c>
      <c r="X17" s="146">
        <v>0</v>
      </c>
      <c r="Y17" s="146">
        <v>0</v>
      </c>
      <c r="Z17" s="146">
        <v>0</v>
      </c>
      <c r="AA17" s="146">
        <v>0</v>
      </c>
      <c r="AB17" s="146">
        <v>0</v>
      </c>
      <c r="AC17" s="146">
        <v>0</v>
      </c>
      <c r="AD17" s="146">
        <v>0</v>
      </c>
      <c r="AE17" s="146">
        <v>0</v>
      </c>
      <c r="AF17" s="146">
        <v>0</v>
      </c>
      <c r="AG17" s="146">
        <v>0</v>
      </c>
      <c r="AH17" s="146">
        <v>0</v>
      </c>
      <c r="AI17" s="146">
        <v>0</v>
      </c>
      <c r="AJ17" s="146">
        <v>0</v>
      </c>
      <c r="AK17" s="146">
        <v>0</v>
      </c>
      <c r="AL17" s="146">
        <v>0</v>
      </c>
      <c r="AM17" s="146">
        <v>0</v>
      </c>
      <c r="AN17" s="146">
        <v>0</v>
      </c>
      <c r="AO17" s="146">
        <v>0</v>
      </c>
      <c r="AP17" s="146">
        <v>0</v>
      </c>
      <c r="AQ17" s="146">
        <v>0</v>
      </c>
      <c r="AR17" s="146">
        <v>0</v>
      </c>
      <c r="AS17" s="146">
        <v>0</v>
      </c>
      <c r="AT17" s="146">
        <v>0</v>
      </c>
      <c r="AU17" s="146">
        <v>0</v>
      </c>
      <c r="AV17" s="146">
        <v>0</v>
      </c>
      <c r="AW17" s="146">
        <v>0</v>
      </c>
      <c r="AX17" s="146">
        <v>0</v>
      </c>
      <c r="AY17" s="146">
        <v>0</v>
      </c>
      <c r="AZ17" s="146">
        <v>0</v>
      </c>
      <c r="BA17" s="146">
        <v>0</v>
      </c>
      <c r="BB17" s="146">
        <v>0</v>
      </c>
      <c r="BC17" s="146">
        <v>0</v>
      </c>
      <c r="BD17" s="146">
        <v>0</v>
      </c>
      <c r="BE17" s="146">
        <v>0</v>
      </c>
      <c r="BF17" s="146">
        <v>0</v>
      </c>
      <c r="BG17" s="146">
        <v>0</v>
      </c>
      <c r="BH17" s="146">
        <v>0</v>
      </c>
      <c r="BI17" s="146">
        <v>0</v>
      </c>
      <c r="BJ17" s="146">
        <v>0</v>
      </c>
      <c r="BK17" s="146">
        <v>0</v>
      </c>
      <c r="BL17" s="146">
        <v>0</v>
      </c>
      <c r="BM17" s="146">
        <v>0</v>
      </c>
      <c r="BN17" s="146">
        <v>0</v>
      </c>
      <c r="BO17" s="146">
        <v>0</v>
      </c>
      <c r="BP17" s="146">
        <v>0</v>
      </c>
      <c r="BQ17" s="146">
        <v>0</v>
      </c>
      <c r="BR17" s="146">
        <v>0</v>
      </c>
      <c r="BS17" s="146">
        <v>0</v>
      </c>
      <c r="BT17" s="146">
        <v>0</v>
      </c>
      <c r="BU17" s="146">
        <v>0</v>
      </c>
      <c r="BV17" s="146">
        <v>0</v>
      </c>
      <c r="BW17" s="146">
        <v>0</v>
      </c>
      <c r="BX17" s="146">
        <v>0</v>
      </c>
      <c r="BY17" s="146">
        <v>0</v>
      </c>
      <c r="BZ17" s="146">
        <v>0</v>
      </c>
      <c r="CA17" s="146">
        <v>0</v>
      </c>
      <c r="CB17" s="146">
        <v>0</v>
      </c>
      <c r="CC17" s="146">
        <v>0</v>
      </c>
      <c r="CD17" s="146">
        <v>0</v>
      </c>
      <c r="CE17" s="146">
        <v>0</v>
      </c>
      <c r="CF17" s="146">
        <v>0</v>
      </c>
      <c r="CG17" s="146">
        <v>0</v>
      </c>
      <c r="CH17" s="146">
        <v>0</v>
      </c>
      <c r="CI17" s="146">
        <v>0</v>
      </c>
      <c r="CJ17" s="146">
        <v>0</v>
      </c>
      <c r="CK17" s="146">
        <v>0</v>
      </c>
      <c r="CL17" s="146">
        <v>0</v>
      </c>
      <c r="CM17" s="146">
        <v>0</v>
      </c>
      <c r="CN17" s="146">
        <v>0</v>
      </c>
      <c r="CO17" s="146">
        <v>0</v>
      </c>
      <c r="CP17" s="146">
        <v>0</v>
      </c>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row>
    <row r="18" spans="3:150" hidden="1">
      <c r="C18" s="143"/>
      <c r="D18" s="282" t="s">
        <v>155</v>
      </c>
      <c r="E18" s="283" t="s">
        <v>154</v>
      </c>
      <c r="F18" s="152"/>
      <c r="G18" s="146"/>
      <c r="H18" s="146"/>
      <c r="I18" s="146"/>
      <c r="J18" s="146"/>
      <c r="K18" s="146"/>
      <c r="L18" s="146"/>
      <c r="M18" s="146"/>
      <c r="N18" s="146"/>
      <c r="O18" s="146"/>
      <c r="P18" s="146"/>
      <c r="Q18" s="146"/>
      <c r="R18" s="146"/>
      <c r="S18" s="146"/>
      <c r="T18" s="146"/>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row>
    <row r="19" spans="3:150" hidden="1">
      <c r="C19" s="143"/>
      <c r="D19" s="282" t="s">
        <v>155</v>
      </c>
      <c r="E19" s="283" t="s">
        <v>154</v>
      </c>
      <c r="F19" s="152"/>
      <c r="G19" s="146"/>
      <c r="H19" s="146"/>
      <c r="I19" s="146"/>
      <c r="J19" s="146"/>
      <c r="K19" s="146"/>
      <c r="L19" s="146"/>
      <c r="M19" s="146"/>
      <c r="N19" s="146"/>
      <c r="O19" s="146"/>
      <c r="P19" s="146"/>
      <c r="Q19" s="146"/>
      <c r="R19" s="146"/>
      <c r="S19" s="146"/>
      <c r="T19" s="146"/>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row>
    <row r="20" spans="3:150">
      <c r="C20" s="143"/>
      <c r="D20" s="144"/>
      <c r="E20" s="145" t="s">
        <v>156</v>
      </c>
      <c r="F20" s="152">
        <f>SUM(F16:F17)</f>
        <v>0</v>
      </c>
      <c r="G20" s="152">
        <f>SUM(G16:G19)</f>
        <v>25324675</v>
      </c>
      <c r="H20" s="152">
        <f t="shared" ref="H20:U20" si="249">SUM(H16:H19)</f>
        <v>37687500</v>
      </c>
      <c r="I20" s="152">
        <f t="shared" si="249"/>
        <v>39375000</v>
      </c>
      <c r="J20" s="152">
        <f t="shared" si="249"/>
        <v>41062500</v>
      </c>
      <c r="K20" s="152">
        <f t="shared" si="249"/>
        <v>32083333</v>
      </c>
      <c r="L20" s="152">
        <f t="shared" si="249"/>
        <v>30833333</v>
      </c>
      <c r="M20" s="152">
        <f t="shared" si="249"/>
        <v>31666667</v>
      </c>
      <c r="N20" s="152">
        <f t="shared" si="249"/>
        <v>31666667</v>
      </c>
      <c r="O20" s="152">
        <f t="shared" si="249"/>
        <v>32500000</v>
      </c>
      <c r="P20" s="152">
        <f t="shared" si="249"/>
        <v>32500000</v>
      </c>
      <c r="Q20" s="152">
        <f t="shared" si="249"/>
        <v>34166667</v>
      </c>
      <c r="R20" s="152">
        <f t="shared" si="249"/>
        <v>33333333</v>
      </c>
      <c r="S20" s="152">
        <f t="shared" si="249"/>
        <v>35833333</v>
      </c>
      <c r="T20" s="152">
        <f t="shared" si="249"/>
        <v>42500000</v>
      </c>
      <c r="U20" s="152">
        <f t="shared" si="249"/>
        <v>42500000</v>
      </c>
      <c r="V20" s="152">
        <f t="shared" ref="V20:W20" si="250">SUM(V16:V19)</f>
        <v>42500000</v>
      </c>
      <c r="W20" s="152">
        <f t="shared" si="250"/>
        <v>34000000</v>
      </c>
      <c r="X20" s="152">
        <f t="shared" ref="X20:Y20" si="251">SUM(X16:X19)</f>
        <v>33000000</v>
      </c>
      <c r="Y20" s="152">
        <f t="shared" si="251"/>
        <v>19586667</v>
      </c>
      <c r="Z20" s="152">
        <f t="shared" ref="Z20:AA20" si="252">SUM(Z16:Z19)</f>
        <v>17920000</v>
      </c>
      <c r="AA20" s="152">
        <f t="shared" si="252"/>
        <v>17920000</v>
      </c>
      <c r="AB20" s="152">
        <f t="shared" ref="AB20:AC20" si="253">SUM(AB16:AB19)</f>
        <v>20888235</v>
      </c>
      <c r="AC20" s="152">
        <f t="shared" si="253"/>
        <v>22605735</v>
      </c>
      <c r="AD20" s="152">
        <f t="shared" ref="AD20:AE20" si="254">SUM(AD16:AD19)</f>
        <v>20201235</v>
      </c>
      <c r="AE20" s="152">
        <f t="shared" si="254"/>
        <v>23292735</v>
      </c>
      <c r="AF20" s="152">
        <f t="shared" ref="AF20:AG20" si="255">SUM(AF16:AF19)</f>
        <v>23292735</v>
      </c>
      <c r="AG20" s="152">
        <f t="shared" si="255"/>
        <v>21657675</v>
      </c>
      <c r="AH20" s="152">
        <f t="shared" ref="AH20" si="256">SUM(AH16:AH19)</f>
        <v>23014500</v>
      </c>
      <c r="AI20" s="152">
        <f t="shared" ref="AI20:AJ20" si="257">SUM(AI16:AI19)</f>
        <v>22909091</v>
      </c>
      <c r="AJ20" s="152">
        <f t="shared" si="257"/>
        <v>22181818</v>
      </c>
      <c r="AK20" s="152">
        <f t="shared" ref="AK20:AL20" si="258">SUM(AK16:AK19)</f>
        <v>24494585</v>
      </c>
      <c r="AL20" s="152">
        <f t="shared" si="258"/>
        <v>26046252</v>
      </c>
      <c r="AM20" s="152">
        <f t="shared" ref="AM20:AN20" si="259">SUM(AM16:AM19)</f>
        <v>28386729</v>
      </c>
      <c r="AN20" s="152">
        <f t="shared" si="259"/>
        <v>30754542</v>
      </c>
      <c r="AO20" s="152">
        <f t="shared" ref="AO20" si="260">SUM(AO16:AO19)</f>
        <v>35493009</v>
      </c>
      <c r="AP20" s="152">
        <f t="shared" ref="AP20:AQ20" si="261">SUM(AP16:AP19)</f>
        <v>28276434</v>
      </c>
      <c r="AQ20" s="152">
        <f t="shared" si="261"/>
        <v>30498234</v>
      </c>
      <c r="AR20" s="152">
        <f t="shared" ref="AR20:AS20" si="262">SUM(AR16:AR19)</f>
        <v>29481342</v>
      </c>
      <c r="AS20" s="152">
        <f t="shared" si="262"/>
        <v>32038458</v>
      </c>
      <c r="AT20" s="152">
        <f t="shared" ref="AT20:AU20" si="263">SUM(AT16:AT19)</f>
        <v>28499997</v>
      </c>
      <c r="AU20" s="152">
        <f t="shared" si="263"/>
        <v>24253843</v>
      </c>
      <c r="AV20" s="152">
        <f t="shared" ref="AV20:AW20" si="264">SUM(AV16:AV19)</f>
        <v>21059239</v>
      </c>
      <c r="AW20" s="152">
        <f t="shared" si="264"/>
        <v>21812436</v>
      </c>
      <c r="AX20" s="152">
        <f t="shared" ref="AX20:AY20" si="265">SUM(AX16:AX19)</f>
        <v>21897018</v>
      </c>
      <c r="AY20" s="152">
        <f t="shared" si="265"/>
        <v>24600314</v>
      </c>
      <c r="AZ20" s="152">
        <f t="shared" ref="AZ20:BA20" si="266">SUM(AZ16:AZ19)</f>
        <v>26259123</v>
      </c>
      <c r="BA20" s="152">
        <f t="shared" si="266"/>
        <v>27018859</v>
      </c>
      <c r="BB20" s="152">
        <f t="shared" ref="BB20" si="267">SUM(BB16:BB19)</f>
        <v>24188090</v>
      </c>
      <c r="BC20" s="152">
        <f t="shared" ref="BC20:BD20" si="268">SUM(BC16:BC19)</f>
        <v>14152362</v>
      </c>
      <c r="BD20" s="152">
        <f t="shared" si="268"/>
        <v>15371317</v>
      </c>
      <c r="BE20" s="152">
        <f t="shared" ref="BE20:BF20" si="269">SUM(BE16:BE19)</f>
        <v>10365218</v>
      </c>
      <c r="BF20" s="152">
        <f t="shared" si="269"/>
        <v>8183803</v>
      </c>
      <c r="BG20" s="152">
        <f t="shared" ref="BG20:BH20" si="270">SUM(BG16:BG19)</f>
        <v>13783880</v>
      </c>
      <c r="BH20" s="152">
        <f t="shared" si="270"/>
        <v>17740</v>
      </c>
      <c r="BI20" s="152">
        <f t="shared" ref="BI20:BJ20" si="271">SUM(BI16:BI19)</f>
        <v>20723626</v>
      </c>
      <c r="BJ20" s="152">
        <f t="shared" si="271"/>
        <v>20637257</v>
      </c>
      <c r="BK20" s="152">
        <f>SUM(BK16:BK19)</f>
        <v>25450730</v>
      </c>
      <c r="BL20" s="152">
        <f t="shared" ref="BL20:BM20" si="272">SUM(BL16:BL19)</f>
        <v>29307673</v>
      </c>
      <c r="BM20" s="152">
        <f t="shared" si="272"/>
        <v>30078798</v>
      </c>
      <c r="BN20" s="152">
        <f t="shared" ref="BN20:BP20" si="273">SUM(BN16:BN19)</f>
        <v>34269089</v>
      </c>
      <c r="BO20" s="152">
        <f t="shared" si="273"/>
        <v>37446159</v>
      </c>
      <c r="BP20" s="152">
        <f t="shared" si="273"/>
        <v>41943228</v>
      </c>
      <c r="BQ20" s="152">
        <f t="shared" ref="BQ20:BS20" si="274">SUM(BQ16:BQ19)</f>
        <v>46268373</v>
      </c>
      <c r="BR20" s="152">
        <f t="shared" si="274"/>
        <v>51178112</v>
      </c>
      <c r="BS20" s="152">
        <f t="shared" si="274"/>
        <v>51575440</v>
      </c>
      <c r="BT20" s="152">
        <f t="shared" ref="BT20:DM20" si="275">SUM(BT16:BT19)</f>
        <v>59223855</v>
      </c>
      <c r="BU20" s="152">
        <f t="shared" si="275"/>
        <v>63140926</v>
      </c>
      <c r="BV20" s="152">
        <f t="shared" si="275"/>
        <v>67271958.879999995</v>
      </c>
      <c r="BW20" s="152">
        <f t="shared" si="275"/>
        <v>64248812.590000004</v>
      </c>
      <c r="BX20" s="152">
        <f t="shared" si="275"/>
        <v>62877432.409999996</v>
      </c>
      <c r="BY20" s="152">
        <f t="shared" si="275"/>
        <v>62724444</v>
      </c>
      <c r="BZ20" s="152">
        <f t="shared" si="275"/>
        <v>56478417.479999997</v>
      </c>
      <c r="CA20" s="152">
        <f t="shared" si="275"/>
        <v>56756922.359999999</v>
      </c>
      <c r="CB20" s="152">
        <f t="shared" si="275"/>
        <v>54351098.829999998</v>
      </c>
      <c r="CC20" s="152">
        <f t="shared" si="275"/>
        <v>51282917.5</v>
      </c>
      <c r="CD20" s="152">
        <f t="shared" si="275"/>
        <v>54518775.340000004</v>
      </c>
      <c r="CE20" s="152">
        <f t="shared" ref="CE20:CF20" si="276">SUM(CE16:CE19)</f>
        <v>51487450.82</v>
      </c>
      <c r="CF20" s="152">
        <f t="shared" si="276"/>
        <v>51453166.149999999</v>
      </c>
      <c r="CG20" s="152">
        <f t="shared" ref="CG20" si="277">SUM(CG16:CG19)</f>
        <v>54745213.880000003</v>
      </c>
      <c r="CH20" s="152">
        <f t="shared" si="275"/>
        <v>53076817.149999999</v>
      </c>
      <c r="CI20" s="152">
        <f t="shared" si="275"/>
        <v>57354718.850000001</v>
      </c>
      <c r="CJ20" s="152">
        <f t="shared" si="275"/>
        <v>63047522.670000002</v>
      </c>
      <c r="CK20" s="152">
        <f t="shared" si="275"/>
        <v>38677778.009999998</v>
      </c>
      <c r="CL20" s="152">
        <f t="shared" si="275"/>
        <v>39908684.68</v>
      </c>
      <c r="CM20" s="152">
        <f t="shared" si="275"/>
        <v>41775287.159999996</v>
      </c>
      <c r="CN20" s="152">
        <f t="shared" si="275"/>
        <v>44598139.119999997</v>
      </c>
      <c r="CO20" s="152">
        <f t="shared" si="275"/>
        <v>46503258.130000003</v>
      </c>
      <c r="CP20" s="152">
        <f t="shared" si="275"/>
        <v>50302008</v>
      </c>
      <c r="CQ20" s="152">
        <f t="shared" si="275"/>
        <v>50199632</v>
      </c>
      <c r="CR20" s="152">
        <f t="shared" si="275"/>
        <v>53745236</v>
      </c>
      <c r="CS20" s="152">
        <f t="shared" si="275"/>
        <v>56312798</v>
      </c>
      <c r="CT20" s="152">
        <f t="shared" si="275"/>
        <v>59054271</v>
      </c>
      <c r="CU20" s="152">
        <f t="shared" si="275"/>
        <v>59325164</v>
      </c>
      <c r="CV20" s="152">
        <f t="shared" si="275"/>
        <v>56440188</v>
      </c>
      <c r="CW20" s="152">
        <f t="shared" si="275"/>
        <v>31432819</v>
      </c>
      <c r="CX20" s="152">
        <f t="shared" si="275"/>
        <v>31853373.469999999</v>
      </c>
      <c r="CY20" s="152">
        <f t="shared" si="275"/>
        <v>31685516</v>
      </c>
      <c r="CZ20" s="152">
        <f t="shared" si="275"/>
        <v>36596097</v>
      </c>
      <c r="DA20" s="152">
        <f t="shared" si="275"/>
        <v>38232699</v>
      </c>
      <c r="DB20" s="152">
        <f t="shared" si="275"/>
        <v>40856994</v>
      </c>
      <c r="DC20" s="152">
        <f t="shared" si="275"/>
        <v>44303825</v>
      </c>
      <c r="DD20" s="152">
        <f t="shared" si="275"/>
        <v>46888771</v>
      </c>
      <c r="DE20" s="152">
        <f t="shared" si="275"/>
        <v>43805040</v>
      </c>
      <c r="DF20" s="152">
        <f t="shared" si="275"/>
        <v>44746468</v>
      </c>
      <c r="DG20" s="152">
        <f t="shared" si="275"/>
        <v>44436299</v>
      </c>
      <c r="DH20" s="152">
        <f t="shared" si="275"/>
        <v>42632991</v>
      </c>
      <c r="DI20" s="152">
        <f t="shared" si="275"/>
        <v>40189535.520000003</v>
      </c>
      <c r="DJ20" s="152">
        <f t="shared" si="275"/>
        <v>34672946</v>
      </c>
      <c r="DK20" s="152">
        <f t="shared" si="275"/>
        <v>38907904</v>
      </c>
      <c r="DL20" s="152">
        <f t="shared" si="275"/>
        <v>39945621</v>
      </c>
      <c r="DM20" s="152">
        <f t="shared" si="275"/>
        <v>40821270</v>
      </c>
      <c r="DN20" s="152">
        <f t="shared" ref="DN20:ET20" si="278">SUM(DN16:DN19)</f>
        <v>39025892.119999997</v>
      </c>
      <c r="DO20" s="152">
        <f t="shared" si="278"/>
        <v>33523004</v>
      </c>
      <c r="DP20" s="152">
        <f t="shared" si="278"/>
        <v>0</v>
      </c>
      <c r="DQ20" s="152">
        <f t="shared" si="278"/>
        <v>0</v>
      </c>
      <c r="DR20" s="152">
        <f t="shared" si="278"/>
        <v>0</v>
      </c>
      <c r="DS20" s="152">
        <f t="shared" si="278"/>
        <v>0</v>
      </c>
      <c r="DT20" s="152">
        <f t="shared" si="278"/>
        <v>0</v>
      </c>
      <c r="DU20" s="152">
        <f t="shared" si="278"/>
        <v>0</v>
      </c>
      <c r="DV20" s="152">
        <f t="shared" si="278"/>
        <v>0</v>
      </c>
      <c r="DW20" s="152">
        <f t="shared" si="278"/>
        <v>0</v>
      </c>
      <c r="DX20" s="152">
        <f t="shared" si="278"/>
        <v>0</v>
      </c>
      <c r="DY20" s="152">
        <f t="shared" si="278"/>
        <v>0</v>
      </c>
      <c r="DZ20" s="152">
        <f t="shared" si="278"/>
        <v>0</v>
      </c>
      <c r="EA20" s="152">
        <f t="shared" si="278"/>
        <v>0</v>
      </c>
      <c r="EB20" s="152">
        <f t="shared" si="278"/>
        <v>0</v>
      </c>
      <c r="EC20" s="152">
        <f t="shared" si="278"/>
        <v>0</v>
      </c>
      <c r="ED20" s="152">
        <f t="shared" si="278"/>
        <v>0</v>
      </c>
      <c r="EE20" s="152">
        <f t="shared" si="278"/>
        <v>0</v>
      </c>
      <c r="EF20" s="152">
        <f t="shared" si="278"/>
        <v>0</v>
      </c>
      <c r="EG20" s="152">
        <f t="shared" si="278"/>
        <v>0</v>
      </c>
      <c r="EH20" s="152">
        <f t="shared" si="278"/>
        <v>0</v>
      </c>
      <c r="EI20" s="152">
        <f t="shared" si="278"/>
        <v>0</v>
      </c>
      <c r="EJ20" s="152">
        <f t="shared" si="278"/>
        <v>0</v>
      </c>
      <c r="EK20" s="152">
        <f t="shared" si="278"/>
        <v>0</v>
      </c>
      <c r="EL20" s="152">
        <f t="shared" si="278"/>
        <v>0</v>
      </c>
      <c r="EM20" s="152">
        <f t="shared" si="278"/>
        <v>0</v>
      </c>
      <c r="EN20" s="152">
        <f t="shared" si="278"/>
        <v>0</v>
      </c>
      <c r="EO20" s="152">
        <f t="shared" si="278"/>
        <v>0</v>
      </c>
      <c r="EP20" s="152">
        <f t="shared" si="278"/>
        <v>0</v>
      </c>
      <c r="EQ20" s="152">
        <f t="shared" si="278"/>
        <v>0</v>
      </c>
      <c r="ER20" s="152">
        <f t="shared" si="278"/>
        <v>0</v>
      </c>
      <c r="ES20" s="152">
        <f t="shared" si="278"/>
        <v>0</v>
      </c>
      <c r="ET20" s="152">
        <f t="shared" si="278"/>
        <v>0</v>
      </c>
    </row>
    <row r="21" spans="3:150">
      <c r="C21" s="143"/>
      <c r="D21" s="144" t="s">
        <v>157</v>
      </c>
      <c r="E21" s="145" t="s">
        <v>9</v>
      </c>
      <c r="F21" s="146">
        <v>0</v>
      </c>
      <c r="G21" s="146">
        <v>2003379.51</v>
      </c>
      <c r="H21" s="146">
        <v>2004104.54</v>
      </c>
      <c r="I21" s="146">
        <v>2004754.44</v>
      </c>
      <c r="J21" s="146">
        <v>2005508.63</v>
      </c>
      <c r="K21" s="146">
        <v>2006182.39</v>
      </c>
      <c r="L21" s="146">
        <v>2006909.74</v>
      </c>
      <c r="M21" s="146">
        <v>2007614</v>
      </c>
      <c r="N21" s="146">
        <v>2008338.71</v>
      </c>
      <c r="O21" s="146">
        <v>2009066.88</v>
      </c>
      <c r="P21" s="146">
        <v>2009770.65</v>
      </c>
      <c r="Q21" s="146">
        <v>2010498.08</v>
      </c>
      <c r="R21" s="146">
        <v>2011225.88</v>
      </c>
      <c r="S21" s="146">
        <v>2011931.04</v>
      </c>
      <c r="T21" s="146">
        <v>2012659.2</v>
      </c>
      <c r="U21" s="146">
        <v>2013313.47</v>
      </c>
      <c r="V21" s="146">
        <v>2014045</v>
      </c>
      <c r="W21" s="146">
        <v>2014748</v>
      </c>
      <c r="X21" s="146">
        <v>2015482</v>
      </c>
      <c r="Y21" s="146">
        <v>2016185</v>
      </c>
      <c r="Z21" s="146">
        <v>2016914</v>
      </c>
      <c r="AA21" s="146">
        <v>2017650</v>
      </c>
      <c r="AB21" s="146">
        <v>2018327</v>
      </c>
      <c r="AC21" s="146">
        <v>2019083</v>
      </c>
      <c r="AD21" s="146">
        <v>2019768</v>
      </c>
      <c r="AE21" s="146">
        <v>2020500</v>
      </c>
      <c r="AF21" s="146">
        <v>2021255</v>
      </c>
      <c r="AG21" s="146">
        <v>2021936</v>
      </c>
      <c r="AH21" s="146">
        <v>2022644</v>
      </c>
      <c r="AI21" s="146">
        <v>2022644</v>
      </c>
      <c r="AJ21" s="146">
        <v>2024113</v>
      </c>
      <c r="AK21" s="146">
        <v>2024794</v>
      </c>
      <c r="AL21" s="146">
        <v>2025528</v>
      </c>
      <c r="AM21" s="146">
        <v>2026264</v>
      </c>
      <c r="AN21" s="146">
        <v>2026971</v>
      </c>
      <c r="AO21" s="146">
        <v>2027707</v>
      </c>
      <c r="AP21" s="146">
        <v>2028417</v>
      </c>
      <c r="AQ21" s="146">
        <v>2029151</v>
      </c>
      <c r="AR21" s="146">
        <v>2029893</v>
      </c>
      <c r="AS21" s="146">
        <v>2030565</v>
      </c>
      <c r="AT21" s="146">
        <v>5631165</v>
      </c>
      <c r="AU21" s="146">
        <v>8031854</v>
      </c>
      <c r="AV21" s="146">
        <v>1468836</v>
      </c>
      <c r="AW21" s="146">
        <v>1000071</v>
      </c>
      <c r="AX21" s="146">
        <v>1000071</v>
      </c>
      <c r="AY21" s="146">
        <v>1000071</v>
      </c>
      <c r="AZ21" s="146">
        <v>1000071</v>
      </c>
      <c r="BA21" s="146">
        <v>1000469.08</v>
      </c>
      <c r="BB21" s="146">
        <v>1000491.24</v>
      </c>
      <c r="BC21" s="146">
        <v>968264.05</v>
      </c>
      <c r="BD21" s="146">
        <v>1000570.46</v>
      </c>
      <c r="BE21" s="146">
        <v>1000573.06</v>
      </c>
      <c r="BF21" s="146">
        <v>1000602.04</v>
      </c>
      <c r="BG21" s="146">
        <v>1000638.57</v>
      </c>
      <c r="BH21" s="146">
        <v>1000652.88</v>
      </c>
      <c r="BI21" s="146">
        <v>1000674.74</v>
      </c>
      <c r="BJ21" s="146">
        <v>968423.1</v>
      </c>
      <c r="BK21" s="146">
        <v>1000731.22</v>
      </c>
      <c r="BL21" s="146">
        <v>1000757.21</v>
      </c>
      <c r="BM21" s="146">
        <v>1000782.09</v>
      </c>
      <c r="BN21" s="146">
        <v>1000803.96</v>
      </c>
      <c r="BO21" s="146">
        <v>936268.1</v>
      </c>
      <c r="BP21" s="146">
        <v>1000863.8</v>
      </c>
      <c r="BQ21" s="551">
        <v>1000874.13</v>
      </c>
      <c r="BR21" s="551">
        <v>1000903.15</v>
      </c>
      <c r="BS21" s="551">
        <v>967907.8</v>
      </c>
      <c r="BT21" s="551">
        <v>1000189.01</v>
      </c>
      <c r="BU21" s="551">
        <v>1000983.79</v>
      </c>
      <c r="BV21" s="146">
        <v>1001224.35</v>
      </c>
      <c r="BW21" s="146">
        <v>1001181.1653333333</v>
      </c>
      <c r="BX21" s="146">
        <v>1001398.2558064517</v>
      </c>
      <c r="BY21" s="146">
        <v>1001850.93</v>
      </c>
      <c r="BZ21" s="146">
        <v>1002326.5267741935</v>
      </c>
      <c r="CA21" s="146">
        <v>938168.27322580642</v>
      </c>
      <c r="CB21" s="146">
        <v>1003408.6475</v>
      </c>
      <c r="CC21" s="146">
        <v>1003881.1087096775</v>
      </c>
      <c r="CD21" s="146">
        <v>1004451.6733333333</v>
      </c>
      <c r="CE21" s="551">
        <v>1004981.0141935484</v>
      </c>
      <c r="CF21" s="146">
        <v>3665316.2969999998</v>
      </c>
      <c r="CG21" s="551">
        <v>3768866.6906451611</v>
      </c>
      <c r="CH21" s="146">
        <v>3782385.7445161291</v>
      </c>
      <c r="CI21" s="146">
        <v>3795991.3943333332</v>
      </c>
      <c r="CJ21" s="146">
        <v>3686362.4012903227</v>
      </c>
      <c r="CK21" s="146">
        <v>3822951.1030000001</v>
      </c>
      <c r="CL21" s="146">
        <v>3836726.5064516128</v>
      </c>
      <c r="CM21" s="146">
        <v>3849643</v>
      </c>
      <c r="CN21" s="146">
        <v>3863578</v>
      </c>
      <c r="CO21" s="146">
        <v>3876497</v>
      </c>
      <c r="CP21" s="146">
        <v>3890451</v>
      </c>
      <c r="CQ21" s="146">
        <v>3903554</v>
      </c>
      <c r="CR21" s="146">
        <v>3917086</v>
      </c>
      <c r="CS21" s="146">
        <v>3931648</v>
      </c>
      <c r="CT21" s="146">
        <v>3945317</v>
      </c>
      <c r="CU21" s="146">
        <v>3959006</v>
      </c>
      <c r="CV21" s="146">
        <v>3973228</v>
      </c>
      <c r="CW21" s="146">
        <v>3985001</v>
      </c>
      <c r="CX21" s="146">
        <v>3997305.2067742888</v>
      </c>
      <c r="CY21" s="146">
        <v>4008800</v>
      </c>
      <c r="CZ21" s="146">
        <v>4019433</v>
      </c>
      <c r="DA21" s="146">
        <v>4029574</v>
      </c>
      <c r="DB21" s="146">
        <v>4030591</v>
      </c>
      <c r="DC21" s="146">
        <v>4030950</v>
      </c>
      <c r="DD21" s="146">
        <v>4044522</v>
      </c>
      <c r="DE21" s="146">
        <v>4068111</v>
      </c>
      <c r="DF21" s="146">
        <v>4074049</v>
      </c>
      <c r="DG21" s="146">
        <v>4074798</v>
      </c>
      <c r="DH21" s="146">
        <v>4107083</v>
      </c>
      <c r="DI21" s="146">
        <v>4116831.2436668715</v>
      </c>
      <c r="DJ21" s="146">
        <v>3993594.1548387464</v>
      </c>
      <c r="DK21" s="146">
        <v>3993594</v>
      </c>
      <c r="DL21" s="146">
        <v>4144106.37</v>
      </c>
      <c r="DM21" s="146">
        <v>4151865.05</v>
      </c>
      <c r="DN21" s="146">
        <v>4151865.05</v>
      </c>
      <c r="DO21" s="146">
        <v>4151865.05</v>
      </c>
      <c r="DP21" s="146"/>
      <c r="DQ21" s="146"/>
      <c r="DR21" s="146"/>
      <c r="DS21" s="146"/>
      <c r="DT21" s="146"/>
      <c r="DU21" s="146"/>
      <c r="DV21" s="146"/>
      <c r="DW21" s="146"/>
      <c r="DX21" s="146"/>
      <c r="DY21" s="146"/>
      <c r="DZ21" s="146"/>
      <c r="EA21" s="146"/>
      <c r="EB21" s="146"/>
      <c r="EC21" s="146"/>
      <c r="ED21" s="146"/>
      <c r="EE21" s="146"/>
      <c r="EF21" s="146"/>
      <c r="EG21" s="146"/>
      <c r="EH21" s="146"/>
      <c r="EI21" s="146"/>
      <c r="EJ21" s="146"/>
      <c r="EK21" s="146"/>
      <c r="EL21" s="146"/>
      <c r="EM21" s="146"/>
      <c r="EN21" s="146"/>
      <c r="EO21" s="146"/>
      <c r="EP21" s="146"/>
      <c r="EQ21" s="146"/>
      <c r="ER21" s="146"/>
      <c r="ES21" s="146"/>
      <c r="ET21" s="146"/>
    </row>
    <row r="22" spans="3:150">
      <c r="C22" s="147"/>
      <c r="D22" s="148"/>
      <c r="E22" s="149" t="s">
        <v>158</v>
      </c>
      <c r="F22" s="150" t="s">
        <v>159</v>
      </c>
      <c r="G22" s="151">
        <f>G21/G20</f>
        <v>7.9107807306510347E-2</v>
      </c>
      <c r="H22" s="151">
        <f t="shared" ref="H22:U22" si="279">H21/H20</f>
        <v>5.31769032172471E-2</v>
      </c>
      <c r="I22" s="151">
        <f t="shared" si="279"/>
        <v>5.0914398476190476E-2</v>
      </c>
      <c r="J22" s="151">
        <f t="shared" si="279"/>
        <v>4.8840392815829525E-2</v>
      </c>
      <c r="K22" s="151">
        <f t="shared" si="279"/>
        <v>6.2530360857458292E-2</v>
      </c>
      <c r="L22" s="151">
        <f t="shared" si="279"/>
        <v>6.508896524420503E-2</v>
      </c>
      <c r="M22" s="151">
        <f t="shared" si="279"/>
        <v>6.3398336174754349E-2</v>
      </c>
      <c r="N22" s="151">
        <f t="shared" si="279"/>
        <v>6.3421221753460821E-2</v>
      </c>
      <c r="O22" s="151">
        <f t="shared" si="279"/>
        <v>6.181744246153846E-2</v>
      </c>
      <c r="P22" s="151">
        <f t="shared" si="279"/>
        <v>6.1839096923076924E-2</v>
      </c>
      <c r="Q22" s="151">
        <f t="shared" si="279"/>
        <v>5.8843845669816139E-2</v>
      </c>
      <c r="R22" s="151">
        <f t="shared" si="279"/>
        <v>6.0336777003367766E-2</v>
      </c>
      <c r="S22" s="151">
        <f t="shared" si="279"/>
        <v>5.6146913266482912E-2</v>
      </c>
      <c r="T22" s="151">
        <f t="shared" si="279"/>
        <v>4.7356687058823531E-2</v>
      </c>
      <c r="U22" s="151">
        <f t="shared" si="279"/>
        <v>4.737208164705882E-2</v>
      </c>
      <c r="V22" s="151">
        <f t="shared" ref="V22:W22" si="280">V21/V20</f>
        <v>4.7389294117647057E-2</v>
      </c>
      <c r="W22" s="151">
        <f t="shared" si="280"/>
        <v>5.9257294117647061E-2</v>
      </c>
      <c r="X22" s="151">
        <f t="shared" ref="X22:Y22" si="281">X21/X20</f>
        <v>6.107521212121212E-2</v>
      </c>
      <c r="Y22" s="151">
        <f t="shared" si="281"/>
        <v>0.10293660478324362</v>
      </c>
      <c r="Z22" s="151">
        <f t="shared" ref="Z22:AA22" si="282">Z21/Z20</f>
        <v>0.11255100446428572</v>
      </c>
      <c r="AA22" s="151">
        <f t="shared" si="282"/>
        <v>0.11259207589285715</v>
      </c>
      <c r="AB22" s="151">
        <f t="shared" ref="AB22:AC22" si="283">AB21/AB20</f>
        <v>9.6625061906858101E-2</v>
      </c>
      <c r="AC22" s="151">
        <f t="shared" si="283"/>
        <v>8.9317290501724447E-2</v>
      </c>
      <c r="AD22" s="151">
        <f t="shared" ref="AD22:AE22" si="284">AD21/AD20</f>
        <v>9.9982402066012305E-2</v>
      </c>
      <c r="AE22" s="151">
        <f t="shared" si="284"/>
        <v>8.6743785133003917E-2</v>
      </c>
      <c r="AF22" s="151">
        <f t="shared" ref="AF22:AG22" si="285">AF21/AF20</f>
        <v>8.6776198673105584E-2</v>
      </c>
      <c r="AG22" s="151">
        <f t="shared" si="285"/>
        <v>9.3358867006730864E-2</v>
      </c>
      <c r="AH22" s="151">
        <f t="shared" ref="AH22" si="286">AH21/AH20</f>
        <v>8.7885637315605378E-2</v>
      </c>
      <c r="AI22" s="151">
        <f t="shared" ref="AI22:AJ22" si="287">AI21/AI20</f>
        <v>8.8290015522658666E-2</v>
      </c>
      <c r="AJ22" s="151">
        <f t="shared" si="287"/>
        <v>9.1250996649598334E-2</v>
      </c>
      <c r="AK22" s="151">
        <f t="shared" ref="AK22:AL22" si="288">AK21/AK20</f>
        <v>8.2662923254262111E-2</v>
      </c>
      <c r="AL22" s="151">
        <f t="shared" si="288"/>
        <v>7.7766582309040086E-2</v>
      </c>
      <c r="AM22" s="151">
        <f t="shared" ref="AM22:AN22" si="289">AM21/AM20</f>
        <v>7.1380679330823926E-2</v>
      </c>
      <c r="AN22" s="151">
        <f t="shared" si="289"/>
        <v>6.5908021000605374E-2</v>
      </c>
      <c r="AO22" s="151">
        <f t="shared" ref="AO22" si="290">AO21/AO20</f>
        <v>5.7129757581274671E-2</v>
      </c>
      <c r="AP22" s="151">
        <f t="shared" ref="AP22:AQ22" si="291">AP21/AP20</f>
        <v>7.1735247803877952E-2</v>
      </c>
      <c r="AQ22" s="151">
        <f t="shared" si="291"/>
        <v>6.6533393376154173E-2</v>
      </c>
      <c r="AR22" s="151">
        <f t="shared" ref="AR22:AS22" si="292">AR21/AR20</f>
        <v>6.8853480279154181E-2</v>
      </c>
      <c r="AS22" s="151">
        <f t="shared" si="292"/>
        <v>6.3378986591676789E-2</v>
      </c>
      <c r="AT22" s="151">
        <f t="shared" ref="AT22:AU22" si="293">AT21/AT20</f>
        <v>0.19758475764050079</v>
      </c>
      <c r="AU22" s="151">
        <f t="shared" si="293"/>
        <v>0.33115799421972014</v>
      </c>
      <c r="AV22" s="151">
        <f t="shared" ref="AV22:AW22" si="294">AV21/AV20</f>
        <v>6.9747819472489009E-2</v>
      </c>
      <c r="AW22" s="151">
        <f t="shared" si="294"/>
        <v>4.5848661745070567E-2</v>
      </c>
      <c r="AX22" s="151">
        <f t="shared" ref="AX22:AY22" si="295">AX21/AX20</f>
        <v>4.5671561305744922E-2</v>
      </c>
      <c r="AY22" s="151">
        <f t="shared" si="295"/>
        <v>4.065277378166799E-2</v>
      </c>
      <c r="AZ22" s="151">
        <f t="shared" ref="AZ22:BA22" si="296">AZ21/AZ20</f>
        <v>3.8084706789331846E-2</v>
      </c>
      <c r="BA22" s="151">
        <f t="shared" si="296"/>
        <v>3.702854661627273E-2</v>
      </c>
      <c r="BB22" s="151">
        <f t="shared" ref="BB22" si="297">BB21/BB20</f>
        <v>4.1362969957528681E-2</v>
      </c>
      <c r="BC22" s="151">
        <f t="shared" ref="BC22:BD22" si="298">BC21/BC20</f>
        <v>6.8417134185798811E-2</v>
      </c>
      <c r="BD22" s="151">
        <f t="shared" si="298"/>
        <v>6.5093346263043042E-2</v>
      </c>
      <c r="BE22" s="151">
        <f t="shared" ref="BE22:BF22" si="299">BE21/BE20</f>
        <v>9.6531791227159922E-2</v>
      </c>
      <c r="BF22" s="151">
        <f t="shared" si="299"/>
        <v>0.12226614448075059</v>
      </c>
      <c r="BG22" s="151">
        <f t="shared" ref="BG22:BH22" si="300">BG21/BG20</f>
        <v>7.25948404948389E-2</v>
      </c>
      <c r="BH22" s="151">
        <f t="shared" si="300"/>
        <v>56.4065885005637</v>
      </c>
      <c r="BI22" s="151">
        <f t="shared" ref="BI22:BK22" si="301">BI21/BI20</f>
        <v>4.8286662768378466E-2</v>
      </c>
      <c r="BJ22" s="151">
        <f t="shared" si="301"/>
        <v>4.6925960169997394E-2</v>
      </c>
      <c r="BK22" s="151">
        <f t="shared" si="301"/>
        <v>3.9320334623014742E-2</v>
      </c>
      <c r="BL22" s="151">
        <f t="shared" ref="BL22:BM22" si="302">BL21/BL20</f>
        <v>3.4146593965341428E-2</v>
      </c>
      <c r="BM22" s="151">
        <f t="shared" si="302"/>
        <v>3.3272010736599245E-2</v>
      </c>
      <c r="BN22" s="151">
        <f t="shared" ref="BN22:BP22" si="303">BN21/BN20</f>
        <v>2.9204276775492921E-2</v>
      </c>
      <c r="BO22" s="151">
        <f t="shared" si="303"/>
        <v>2.5003047709112169E-2</v>
      </c>
      <c r="BP22" s="151">
        <f t="shared" si="303"/>
        <v>2.386234554956047E-2</v>
      </c>
      <c r="BQ22" s="151">
        <f t="shared" ref="BQ22:BS22" si="304">BQ21/BQ20</f>
        <v>2.163192835849231E-2</v>
      </c>
      <c r="BR22" s="151">
        <f t="shared" si="304"/>
        <v>1.9557250372971947E-2</v>
      </c>
      <c r="BS22" s="151">
        <f t="shared" si="304"/>
        <v>1.8766835532571319E-2</v>
      </c>
      <c r="BT22" s="151">
        <f t="shared" ref="BT22:DM22" si="305">BT21/BT20</f>
        <v>1.6888279393497772E-2</v>
      </c>
      <c r="BU22" s="151">
        <f t="shared" si="305"/>
        <v>1.585316930575266E-2</v>
      </c>
      <c r="BV22" s="151">
        <f t="shared" si="305"/>
        <v>1.488323465927294E-2</v>
      </c>
      <c r="BW22" s="151">
        <f t="shared" si="305"/>
        <v>1.5582874219362025E-2</v>
      </c>
      <c r="BX22" s="151">
        <f t="shared" si="305"/>
        <v>1.5926195097737322E-2</v>
      </c>
      <c r="BY22" s="151">
        <f t="shared" si="305"/>
        <v>1.5972256844556488E-2</v>
      </c>
      <c r="BZ22" s="151">
        <f t="shared" si="305"/>
        <v>1.7747071739910827E-2</v>
      </c>
      <c r="CA22" s="151">
        <f t="shared" si="305"/>
        <v>1.6529583251099423E-2</v>
      </c>
      <c r="CB22" s="151">
        <f t="shared" si="305"/>
        <v>1.846160738421266E-2</v>
      </c>
      <c r="CC22" s="151">
        <f t="shared" si="305"/>
        <v>1.9575350967691679E-2</v>
      </c>
      <c r="CD22" s="151">
        <f t="shared" si="305"/>
        <v>1.8423958848473525E-2</v>
      </c>
      <c r="CE22" s="151">
        <f t="shared" ref="CE22:CG22" si="306">CE21/CE20</f>
        <v>1.9518950699403619E-2</v>
      </c>
      <c r="CF22" s="151">
        <f t="shared" si="305"/>
        <v>7.1235971880031723E-2</v>
      </c>
      <c r="CG22" s="151">
        <f t="shared" si="306"/>
        <v>6.8843765939181692E-2</v>
      </c>
      <c r="CH22" s="151">
        <f t="shared" si="305"/>
        <v>7.1262482334363733E-2</v>
      </c>
      <c r="CI22" s="151">
        <f t="shared" si="305"/>
        <v>6.6184465209584639E-2</v>
      </c>
      <c r="CJ22" s="151">
        <f t="shared" si="305"/>
        <v>5.8469583659698815E-2</v>
      </c>
      <c r="CK22" s="151">
        <f t="shared" si="305"/>
        <v>9.8841021891474479E-2</v>
      </c>
      <c r="CL22" s="151">
        <f t="shared" si="305"/>
        <v>9.6137633630766231E-2</v>
      </c>
      <c r="CM22" s="151">
        <f t="shared" si="305"/>
        <v>9.2151203778822813E-2</v>
      </c>
      <c r="CN22" s="151">
        <f t="shared" si="305"/>
        <v>8.6630923985511796E-2</v>
      </c>
      <c r="CO22" s="151">
        <f t="shared" si="305"/>
        <v>8.3359686092601096E-2</v>
      </c>
      <c r="CP22" s="151">
        <f t="shared" si="305"/>
        <v>7.734186277414612E-2</v>
      </c>
      <c r="CQ22" s="151">
        <f t="shared" si="305"/>
        <v>7.7760609878574402E-2</v>
      </c>
      <c r="CR22" s="151">
        <f t="shared" si="305"/>
        <v>7.2882478365152215E-2</v>
      </c>
      <c r="CS22" s="151">
        <f t="shared" si="305"/>
        <v>6.9818018987442249E-2</v>
      </c>
      <c r="CT22" s="151">
        <f t="shared" si="305"/>
        <v>6.68083261920209E-2</v>
      </c>
      <c r="CU22" s="151">
        <f t="shared" si="305"/>
        <v>6.6734008522926297E-2</v>
      </c>
      <c r="CV22" s="151">
        <f t="shared" si="305"/>
        <v>7.0397143255440608E-2</v>
      </c>
      <c r="CW22" s="151">
        <f t="shared" si="305"/>
        <v>0.12677835226932715</v>
      </c>
      <c r="CX22" s="151">
        <f t="shared" si="305"/>
        <v>0.12549079646270475</v>
      </c>
      <c r="CY22" s="151">
        <f t="shared" si="305"/>
        <v>0.12651837514654962</v>
      </c>
      <c r="CZ22" s="151">
        <f t="shared" si="305"/>
        <v>0.10983228621347244</v>
      </c>
      <c r="DA22" s="151">
        <f>DA21/DA20</f>
        <v>0.10539601193208986</v>
      </c>
      <c r="DB22" s="151">
        <f t="shared" si="305"/>
        <v>9.8651188092790179E-2</v>
      </c>
      <c r="DC22" s="151">
        <f t="shared" si="305"/>
        <v>9.0984243459791558E-2</v>
      </c>
      <c r="DD22" s="151">
        <f t="shared" si="305"/>
        <v>8.6257795069953958E-2</v>
      </c>
      <c r="DE22" s="151">
        <f t="shared" si="305"/>
        <v>9.2868560330044217E-2</v>
      </c>
      <c r="DF22" s="151">
        <f t="shared" si="305"/>
        <v>9.1047387248530995E-2</v>
      </c>
      <c r="DG22" s="151">
        <f t="shared" si="305"/>
        <v>9.1699761044456027E-2</v>
      </c>
      <c r="DH22" s="151">
        <f t="shared" si="305"/>
        <v>9.6335793095070441E-2</v>
      </c>
      <c r="DI22" s="151">
        <f t="shared" si="305"/>
        <v>0.10243540241011651</v>
      </c>
      <c r="DJ22" s="151">
        <f>DJ21/DJ20</f>
        <v>0.11517896849142113</v>
      </c>
      <c r="DK22" s="151">
        <f t="shared" si="305"/>
        <v>0.10264222919846826</v>
      </c>
      <c r="DL22" s="151">
        <f t="shared" si="305"/>
        <v>0.103743696211407</v>
      </c>
      <c r="DM22" s="151">
        <f t="shared" si="305"/>
        <v>0.10170837531512371</v>
      </c>
      <c r="DN22" s="151">
        <f t="shared" ref="DN22:ET22" si="307">DN21/DN20</f>
        <v>0.10638744752415925</v>
      </c>
      <c r="DO22" s="151">
        <f t="shared" si="307"/>
        <v>0.12385122317797057</v>
      </c>
      <c r="DP22" s="151" t="e">
        <f t="shared" si="307"/>
        <v>#DIV/0!</v>
      </c>
      <c r="DQ22" s="151" t="e">
        <f t="shared" si="307"/>
        <v>#DIV/0!</v>
      </c>
      <c r="DR22" s="151" t="e">
        <f t="shared" si="307"/>
        <v>#DIV/0!</v>
      </c>
      <c r="DS22" s="151" t="e">
        <f t="shared" si="307"/>
        <v>#DIV/0!</v>
      </c>
      <c r="DT22" s="151" t="e">
        <f t="shared" si="307"/>
        <v>#DIV/0!</v>
      </c>
      <c r="DU22" s="151" t="e">
        <f t="shared" si="307"/>
        <v>#DIV/0!</v>
      </c>
      <c r="DV22" s="151" t="e">
        <f t="shared" si="307"/>
        <v>#DIV/0!</v>
      </c>
      <c r="DW22" s="151" t="e">
        <f t="shared" si="307"/>
        <v>#DIV/0!</v>
      </c>
      <c r="DX22" s="151" t="e">
        <f t="shared" si="307"/>
        <v>#DIV/0!</v>
      </c>
      <c r="DY22" s="151" t="e">
        <f t="shared" si="307"/>
        <v>#DIV/0!</v>
      </c>
      <c r="DZ22" s="151" t="e">
        <f t="shared" si="307"/>
        <v>#DIV/0!</v>
      </c>
      <c r="EA22" s="151" t="e">
        <f t="shared" si="307"/>
        <v>#DIV/0!</v>
      </c>
      <c r="EB22" s="151" t="e">
        <f t="shared" si="307"/>
        <v>#DIV/0!</v>
      </c>
      <c r="EC22" s="151" t="e">
        <f t="shared" si="307"/>
        <v>#DIV/0!</v>
      </c>
      <c r="ED22" s="151" t="e">
        <f t="shared" si="307"/>
        <v>#DIV/0!</v>
      </c>
      <c r="EE22" s="151" t="e">
        <f t="shared" si="307"/>
        <v>#DIV/0!</v>
      </c>
      <c r="EF22" s="151" t="e">
        <f t="shared" si="307"/>
        <v>#DIV/0!</v>
      </c>
      <c r="EG22" s="151" t="e">
        <f t="shared" si="307"/>
        <v>#DIV/0!</v>
      </c>
      <c r="EH22" s="151" t="e">
        <f t="shared" si="307"/>
        <v>#DIV/0!</v>
      </c>
      <c r="EI22" s="151" t="e">
        <f t="shared" si="307"/>
        <v>#DIV/0!</v>
      </c>
      <c r="EJ22" s="151" t="e">
        <f t="shared" si="307"/>
        <v>#DIV/0!</v>
      </c>
      <c r="EK22" s="151" t="e">
        <f t="shared" si="307"/>
        <v>#DIV/0!</v>
      </c>
      <c r="EL22" s="151" t="e">
        <f t="shared" si="307"/>
        <v>#DIV/0!</v>
      </c>
      <c r="EM22" s="151" t="e">
        <f t="shared" si="307"/>
        <v>#DIV/0!</v>
      </c>
      <c r="EN22" s="151" t="e">
        <f t="shared" si="307"/>
        <v>#DIV/0!</v>
      </c>
      <c r="EO22" s="151" t="e">
        <f t="shared" si="307"/>
        <v>#DIV/0!</v>
      </c>
      <c r="EP22" s="151" t="e">
        <f t="shared" si="307"/>
        <v>#DIV/0!</v>
      </c>
      <c r="EQ22" s="151" t="e">
        <f t="shared" si="307"/>
        <v>#DIV/0!</v>
      </c>
      <c r="ER22" s="151" t="e">
        <f t="shared" si="307"/>
        <v>#DIV/0!</v>
      </c>
      <c r="ES22" s="151" t="e">
        <f t="shared" si="307"/>
        <v>#DIV/0!</v>
      </c>
      <c r="ET22" s="151" t="e">
        <f t="shared" si="307"/>
        <v>#DIV/0!</v>
      </c>
    </row>
    <row r="24" spans="3:150">
      <c r="C24" s="442" t="s">
        <v>160</v>
      </c>
      <c r="D24" s="441"/>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1"/>
      <c r="AF24" s="441"/>
      <c r="AG24" s="441"/>
      <c r="AH24" s="441"/>
      <c r="AI24" s="441"/>
      <c r="AJ24" s="441"/>
      <c r="AK24" s="441"/>
      <c r="AL24" s="441"/>
      <c r="AM24" s="441"/>
      <c r="AN24" s="441"/>
      <c r="AO24" s="441"/>
      <c r="AP24" s="441"/>
      <c r="AQ24" s="441"/>
      <c r="AR24" s="441"/>
      <c r="AS24" s="441"/>
      <c r="AT24" s="441"/>
      <c r="AU24" s="441"/>
      <c r="AV24" s="441"/>
      <c r="AW24" s="441"/>
      <c r="AX24" s="441"/>
      <c r="AY24" s="441"/>
      <c r="AZ24" s="441"/>
      <c r="BA24" s="441"/>
      <c r="BB24" s="441"/>
      <c r="BC24" s="441"/>
      <c r="BD24" s="441"/>
      <c r="BE24" s="441"/>
      <c r="BF24" s="441"/>
      <c r="BG24" s="441"/>
      <c r="BH24" s="441"/>
      <c r="BI24" s="441"/>
      <c r="BJ24" s="441"/>
      <c r="BK24" s="441"/>
      <c r="BL24" s="441"/>
      <c r="BM24" s="441"/>
      <c r="BN24" s="441"/>
      <c r="BO24" s="441"/>
      <c r="BP24" s="441"/>
      <c r="BQ24" s="441"/>
      <c r="BR24" s="441"/>
      <c r="BS24" s="441"/>
      <c r="BT24" s="441"/>
      <c r="BU24" s="441"/>
      <c r="BV24" s="441"/>
      <c r="BW24" s="441"/>
      <c r="BX24" s="441"/>
      <c r="BY24" s="441"/>
      <c r="BZ24" s="441"/>
      <c r="CA24" s="441"/>
      <c r="CB24" s="441"/>
      <c r="CC24" s="441"/>
      <c r="CD24" s="441"/>
      <c r="CE24" s="441"/>
      <c r="CF24" s="441"/>
      <c r="CG24" s="441"/>
      <c r="CH24" s="441"/>
      <c r="CI24" s="441"/>
      <c r="CJ24" s="441"/>
      <c r="CK24" s="441"/>
      <c r="CL24" s="441"/>
      <c r="CM24" s="441"/>
      <c r="CN24" s="441"/>
      <c r="CO24" s="441"/>
      <c r="CP24" s="441"/>
      <c r="CQ24" s="441"/>
      <c r="CR24" s="441"/>
      <c r="CS24" s="441"/>
      <c r="CT24" s="441"/>
      <c r="CU24" s="441"/>
      <c r="CV24" s="441"/>
      <c r="CW24" s="441"/>
      <c r="CX24" s="441"/>
      <c r="CY24" s="441"/>
      <c r="CZ24" s="441"/>
      <c r="DA24" s="441"/>
      <c r="DB24" s="441"/>
      <c r="DC24" s="441"/>
      <c r="DD24" s="441"/>
      <c r="DE24" s="441"/>
      <c r="DF24" s="441"/>
      <c r="DG24" s="441"/>
      <c r="DH24" s="441"/>
      <c r="DI24" s="441"/>
      <c r="DJ24" s="441"/>
      <c r="DK24" s="441"/>
      <c r="DL24" s="441"/>
      <c r="DM24" s="441"/>
      <c r="DN24" s="441"/>
      <c r="DO24" s="441"/>
      <c r="DP24" s="441"/>
      <c r="DQ24" s="441"/>
      <c r="DR24" s="441"/>
      <c r="DS24" s="441"/>
      <c r="DT24" s="441"/>
      <c r="DU24" s="441"/>
      <c r="DV24" s="441"/>
      <c r="DW24" s="441"/>
      <c r="DX24" s="441"/>
      <c r="DY24" s="441"/>
      <c r="DZ24" s="441"/>
      <c r="EA24" s="441"/>
      <c r="EB24" s="441"/>
      <c r="EC24" s="441"/>
      <c r="ED24" s="441"/>
      <c r="EE24" s="441"/>
      <c r="EF24" s="441"/>
      <c r="EG24" s="441"/>
      <c r="EH24" s="441"/>
      <c r="EI24" s="441"/>
      <c r="EJ24" s="441"/>
      <c r="EK24" s="441"/>
      <c r="EL24" s="441"/>
      <c r="EM24" s="441"/>
      <c r="EN24" s="441"/>
      <c r="EO24" s="441"/>
      <c r="EP24" s="441"/>
      <c r="EQ24" s="441"/>
      <c r="ER24" s="441"/>
      <c r="ES24" s="441"/>
      <c r="ET24" s="441"/>
    </row>
    <row r="25" spans="3:150">
      <c r="C25" s="444" t="s">
        <v>72</v>
      </c>
      <c r="D25" s="443" t="s">
        <v>103</v>
      </c>
      <c r="E25" s="445" t="s">
        <v>104</v>
      </c>
      <c r="F25" s="447">
        <f>$F$8</f>
        <v>42735</v>
      </c>
      <c r="G25" s="447">
        <f>EOMONTH(F25,1)</f>
        <v>42766</v>
      </c>
      <c r="H25" s="448">
        <f t="shared" ref="H25:Y25" si="308">EOMONTH(G25,1)</f>
        <v>42794</v>
      </c>
      <c r="I25" s="449">
        <f t="shared" si="308"/>
        <v>42825</v>
      </c>
      <c r="J25" s="450">
        <f t="shared" si="308"/>
        <v>42855</v>
      </c>
      <c r="K25" s="450">
        <f t="shared" si="308"/>
        <v>42886</v>
      </c>
      <c r="L25" s="450">
        <f t="shared" si="308"/>
        <v>42916</v>
      </c>
      <c r="M25" s="448">
        <f t="shared" si="308"/>
        <v>42947</v>
      </c>
      <c r="N25" s="449">
        <f t="shared" si="308"/>
        <v>42978</v>
      </c>
      <c r="O25" s="450">
        <f t="shared" si="308"/>
        <v>43008</v>
      </c>
      <c r="P25" s="450">
        <f t="shared" si="308"/>
        <v>43039</v>
      </c>
      <c r="Q25" s="450">
        <f t="shared" si="308"/>
        <v>43069</v>
      </c>
      <c r="R25" s="450">
        <f t="shared" si="308"/>
        <v>43100</v>
      </c>
      <c r="S25" s="450">
        <f t="shared" si="308"/>
        <v>43131</v>
      </c>
      <c r="T25" s="448">
        <f t="shared" si="308"/>
        <v>43159</v>
      </c>
      <c r="U25" s="449">
        <f t="shared" si="308"/>
        <v>43190</v>
      </c>
      <c r="V25" s="448">
        <f t="shared" si="308"/>
        <v>43220</v>
      </c>
      <c r="W25" s="449">
        <f t="shared" si="308"/>
        <v>43251</v>
      </c>
      <c r="X25" s="448">
        <f t="shared" si="308"/>
        <v>43281</v>
      </c>
      <c r="Y25" s="448">
        <f t="shared" si="308"/>
        <v>43312</v>
      </c>
      <c r="Z25" s="449">
        <f>EOMONTH(Y25,1)</f>
        <v>43343</v>
      </c>
      <c r="AA25" s="448">
        <f>EOMONTH(Z25,1)</f>
        <v>43373</v>
      </c>
      <c r="AB25" s="449">
        <f>EOMONTH(AA25,1)</f>
        <v>43404</v>
      </c>
      <c r="AC25" s="448">
        <f>EOMONTH(AB25,1)</f>
        <v>43434</v>
      </c>
      <c r="AD25" s="449">
        <f t="shared" ref="AD25" si="309">EOMONTH(AC25,1)</f>
        <v>43465</v>
      </c>
      <c r="AE25" s="448">
        <f>EOMONTH(AD25,1)</f>
        <v>43496</v>
      </c>
      <c r="AF25" s="448">
        <f t="shared" ref="AF25:AP25" si="310">EOMONTH(AE25,1)</f>
        <v>43524</v>
      </c>
      <c r="AG25" s="448">
        <f t="shared" si="310"/>
        <v>43555</v>
      </c>
      <c r="AH25" s="448">
        <f t="shared" si="310"/>
        <v>43585</v>
      </c>
      <c r="AI25" s="448">
        <f t="shared" si="310"/>
        <v>43616</v>
      </c>
      <c r="AJ25" s="448">
        <f t="shared" si="310"/>
        <v>43646</v>
      </c>
      <c r="AK25" s="448">
        <f t="shared" si="310"/>
        <v>43677</v>
      </c>
      <c r="AL25" s="448">
        <f t="shared" si="310"/>
        <v>43708</v>
      </c>
      <c r="AM25" s="448">
        <f t="shared" si="310"/>
        <v>43738</v>
      </c>
      <c r="AN25" s="448">
        <f t="shared" si="310"/>
        <v>43769</v>
      </c>
      <c r="AO25" s="448">
        <f t="shared" si="310"/>
        <v>43799</v>
      </c>
      <c r="AP25" s="448">
        <f t="shared" si="310"/>
        <v>43830</v>
      </c>
      <c r="AQ25" s="448">
        <f t="shared" ref="AQ25" si="311">EOMONTH(AP25,1)</f>
        <v>43861</v>
      </c>
      <c r="AR25" s="448">
        <f t="shared" ref="AR25" si="312">EOMONTH(AQ25,1)</f>
        <v>43890</v>
      </c>
      <c r="AS25" s="448">
        <f t="shared" ref="AS25" si="313">EOMONTH(AR25,1)</f>
        <v>43921</v>
      </c>
      <c r="AT25" s="448">
        <f t="shared" ref="AT25" si="314">EOMONTH(AS25,1)</f>
        <v>43951</v>
      </c>
      <c r="AU25" s="448">
        <f t="shared" ref="AU25" si="315">EOMONTH(AT25,1)</f>
        <v>43982</v>
      </c>
      <c r="AV25" s="448">
        <f t="shared" ref="AV25" si="316">EOMONTH(AU25,1)</f>
        <v>44012</v>
      </c>
      <c r="AW25" s="448">
        <f t="shared" ref="AW25" si="317">EOMONTH(AV25,1)</f>
        <v>44043</v>
      </c>
      <c r="AX25" s="448">
        <f t="shared" ref="AX25" si="318">EOMONTH(AW25,1)</f>
        <v>44074</v>
      </c>
      <c r="AY25" s="448">
        <f t="shared" ref="AY25" si="319">EOMONTH(AX25,1)</f>
        <v>44104</v>
      </c>
      <c r="AZ25" s="448">
        <f t="shared" ref="AZ25" si="320">EOMONTH(AY25,1)</f>
        <v>44135</v>
      </c>
      <c r="BA25" s="448">
        <f t="shared" ref="BA25" si="321">EOMONTH(AZ25,1)</f>
        <v>44165</v>
      </c>
      <c r="BB25" s="448">
        <f t="shared" ref="BB25" si="322">EOMONTH(BA25,1)</f>
        <v>44196</v>
      </c>
      <c r="BC25" s="448">
        <f t="shared" ref="BC25" si="323">EOMONTH(BB25,1)</f>
        <v>44227</v>
      </c>
      <c r="BD25" s="448">
        <f t="shared" ref="BD25" si="324">EOMONTH(BC25,1)</f>
        <v>44255</v>
      </c>
      <c r="BE25" s="448">
        <f t="shared" ref="BE25" si="325">EOMONTH(BD25,1)</f>
        <v>44286</v>
      </c>
      <c r="BF25" s="448">
        <f t="shared" ref="BF25" si="326">EOMONTH(BE25,1)</f>
        <v>44316</v>
      </c>
      <c r="BG25" s="448">
        <f t="shared" ref="BG25" si="327">EOMONTH(BF25,1)</f>
        <v>44347</v>
      </c>
      <c r="BH25" s="448">
        <f t="shared" ref="BH25" si="328">EOMONTH(BG25,1)</f>
        <v>44377</v>
      </c>
      <c r="BI25" s="448">
        <f t="shared" ref="BI25" si="329">EOMONTH(BH25,1)</f>
        <v>44408</v>
      </c>
      <c r="BJ25" s="448">
        <f t="shared" ref="BJ25" si="330">EOMONTH(BI25,1)</f>
        <v>44439</v>
      </c>
      <c r="BK25" s="448">
        <f t="shared" ref="BK25" si="331">EOMONTH(BJ25,1)</f>
        <v>44469</v>
      </c>
      <c r="BL25" s="448">
        <f t="shared" ref="BL25" si="332">EOMONTH(BK25,1)</f>
        <v>44500</v>
      </c>
      <c r="BM25" s="448">
        <f t="shared" ref="BM25" si="333">EOMONTH(BL25,1)</f>
        <v>44530</v>
      </c>
      <c r="BN25" s="448">
        <f t="shared" ref="BN25" si="334">EOMONTH(BM25,1)</f>
        <v>44561</v>
      </c>
      <c r="BO25" s="448">
        <f t="shared" ref="BO25" si="335">EOMONTH(BN25,1)</f>
        <v>44592</v>
      </c>
      <c r="BP25" s="448">
        <f t="shared" ref="BP25" si="336">EOMONTH(BO25,1)</f>
        <v>44620</v>
      </c>
      <c r="BQ25" s="448">
        <f t="shared" ref="BQ25" si="337">EOMONTH(BP25,1)</f>
        <v>44651</v>
      </c>
      <c r="BR25" s="448">
        <f t="shared" ref="BR25" si="338">EOMONTH(BQ25,1)</f>
        <v>44681</v>
      </c>
      <c r="BS25" s="448">
        <f t="shared" ref="BS25" si="339">EOMONTH(BR25,1)</f>
        <v>44712</v>
      </c>
      <c r="BT25" s="448">
        <f t="shared" ref="BT25" si="340">EOMONTH(BS25,1)</f>
        <v>44742</v>
      </c>
      <c r="BU25" s="448">
        <f t="shared" ref="BU25" si="341">EOMONTH(BT25,1)</f>
        <v>44773</v>
      </c>
      <c r="BV25" s="448">
        <f t="shared" ref="BV25" si="342">EOMONTH(BU25,1)</f>
        <v>44804</v>
      </c>
      <c r="BW25" s="448">
        <f t="shared" ref="BW25" si="343">EOMONTH(BV25,1)</f>
        <v>44834</v>
      </c>
      <c r="BX25" s="448">
        <f t="shared" ref="BX25" si="344">EOMONTH(BW25,1)</f>
        <v>44865</v>
      </c>
      <c r="BY25" s="448">
        <f t="shared" ref="BY25" si="345">EOMONTH(BX25,1)</f>
        <v>44895</v>
      </c>
      <c r="BZ25" s="448">
        <f t="shared" ref="BZ25" si="346">EOMONTH(BY25,1)</f>
        <v>44926</v>
      </c>
      <c r="CA25" s="448">
        <f t="shared" ref="CA25" si="347">EOMONTH(BZ25,1)</f>
        <v>44957</v>
      </c>
      <c r="CB25" s="448">
        <f t="shared" ref="CB25" si="348">EOMONTH(CA25,1)</f>
        <v>44985</v>
      </c>
      <c r="CC25" s="448">
        <f t="shared" ref="CC25" si="349">EOMONTH(CB25,1)</f>
        <v>45016</v>
      </c>
      <c r="CD25" s="448">
        <f t="shared" ref="CD25" si="350">EOMONTH(CC25,1)</f>
        <v>45046</v>
      </c>
      <c r="CE25" s="448">
        <f t="shared" ref="CE25" si="351">EOMONTH(CD25,1)</f>
        <v>45077</v>
      </c>
      <c r="CF25" s="448">
        <f t="shared" ref="CF25" si="352">EOMONTH(CE25,1)</f>
        <v>45107</v>
      </c>
      <c r="CG25" s="448">
        <f t="shared" ref="CG25" si="353">EOMONTH(CF25,1)</f>
        <v>45138</v>
      </c>
      <c r="CH25" s="448">
        <f t="shared" ref="CH25" si="354">EOMONTH(CG25,1)</f>
        <v>45169</v>
      </c>
      <c r="CI25" s="448">
        <f t="shared" ref="CI25" si="355">EOMONTH(CH25,1)</f>
        <v>45199</v>
      </c>
      <c r="CJ25" s="448">
        <f t="shared" ref="CJ25" si="356">EOMONTH(CI25,1)</f>
        <v>45230</v>
      </c>
      <c r="CK25" s="448">
        <f t="shared" ref="CK25" si="357">EOMONTH(CJ25,1)</f>
        <v>45260</v>
      </c>
      <c r="CL25" s="448">
        <f t="shared" ref="CL25" si="358">EOMONTH(CK25,1)</f>
        <v>45291</v>
      </c>
      <c r="CM25" s="448">
        <f t="shared" ref="CM25" si="359">EOMONTH(CL25,1)</f>
        <v>45322</v>
      </c>
      <c r="CN25" s="448">
        <f t="shared" ref="CN25" si="360">EOMONTH(CM25,1)</f>
        <v>45351</v>
      </c>
      <c r="CO25" s="448">
        <f t="shared" ref="CO25" si="361">EOMONTH(CN25,1)</f>
        <v>45382</v>
      </c>
      <c r="CP25" s="448">
        <f t="shared" ref="CP25" si="362">EOMONTH(CO25,1)</f>
        <v>45412</v>
      </c>
      <c r="CQ25" s="448">
        <f t="shared" ref="CQ25" si="363">EOMONTH(CP25,1)</f>
        <v>45443</v>
      </c>
      <c r="CR25" s="448">
        <f t="shared" ref="CR25" si="364">EOMONTH(CQ25,1)</f>
        <v>45473</v>
      </c>
      <c r="CS25" s="448">
        <f t="shared" ref="CS25" si="365">EOMONTH(CR25,1)</f>
        <v>45504</v>
      </c>
      <c r="CT25" s="448">
        <f t="shared" ref="CT25" si="366">EOMONTH(CS25,1)</f>
        <v>45535</v>
      </c>
      <c r="CU25" s="448">
        <f t="shared" ref="CU25" si="367">EOMONTH(CT25,1)</f>
        <v>45565</v>
      </c>
      <c r="CV25" s="448">
        <f t="shared" ref="CV25" si="368">EOMONTH(CU25,1)</f>
        <v>45596</v>
      </c>
      <c r="CW25" s="448">
        <f t="shared" ref="CW25" si="369">EOMONTH(CV25,1)</f>
        <v>45626</v>
      </c>
      <c r="CX25" s="448">
        <f t="shared" ref="CX25" si="370">EOMONTH(CW25,1)</f>
        <v>45657</v>
      </c>
      <c r="CY25" s="448">
        <f t="shared" ref="CY25" si="371">EOMONTH(CX25,1)</f>
        <v>45688</v>
      </c>
      <c r="CZ25" s="448">
        <f t="shared" ref="CZ25" si="372">EOMONTH(CY25,1)</f>
        <v>45716</v>
      </c>
      <c r="DA25" s="448">
        <f t="shared" ref="DA25" si="373">EOMONTH(CZ25,1)</f>
        <v>45747</v>
      </c>
      <c r="DB25" s="448">
        <f t="shared" ref="DB25" si="374">EOMONTH(DA25,1)</f>
        <v>45777</v>
      </c>
      <c r="DC25" s="448">
        <f t="shared" ref="DC25" si="375">EOMONTH(DB25,1)</f>
        <v>45808</v>
      </c>
      <c r="DD25" s="448">
        <f t="shared" ref="DD25" si="376">EOMONTH(DC25,1)</f>
        <v>45838</v>
      </c>
      <c r="DE25" s="448">
        <f t="shared" ref="DE25" si="377">EOMONTH(DD25,1)</f>
        <v>45869</v>
      </c>
      <c r="DF25" s="448">
        <f t="shared" ref="DF25" si="378">EOMONTH(DE25,1)</f>
        <v>45900</v>
      </c>
      <c r="DG25" s="448">
        <f t="shared" ref="DG25" si="379">EOMONTH(DF25,1)</f>
        <v>45930</v>
      </c>
      <c r="DH25" s="448">
        <f t="shared" ref="DH25" si="380">EOMONTH(DG25,1)</f>
        <v>45961</v>
      </c>
      <c r="DI25" s="448">
        <f t="shared" ref="DI25" si="381">EOMONTH(DH25,1)</f>
        <v>45991</v>
      </c>
      <c r="DJ25" s="448">
        <f t="shared" ref="DJ25" si="382">EOMONTH(DI25,1)</f>
        <v>46022</v>
      </c>
      <c r="DK25" s="448">
        <f t="shared" ref="DK25" si="383">EOMONTH(DJ25,1)</f>
        <v>46053</v>
      </c>
      <c r="DL25" s="448">
        <f t="shared" ref="DL25" si="384">EOMONTH(DK25,1)</f>
        <v>46081</v>
      </c>
      <c r="DM25" s="448">
        <f t="shared" ref="DM25" si="385">EOMONTH(DL25,1)</f>
        <v>46112</v>
      </c>
      <c r="DN25" s="448">
        <f t="shared" ref="DN25" si="386">EOMONTH(DM25,1)</f>
        <v>46142</v>
      </c>
      <c r="DO25" s="448">
        <f t="shared" ref="DO25" si="387">EOMONTH(DN25,1)</f>
        <v>46173</v>
      </c>
      <c r="DP25" s="448">
        <f t="shared" ref="DP25" si="388">EOMONTH(DO25,1)</f>
        <v>46203</v>
      </c>
      <c r="DQ25" s="448">
        <f t="shared" ref="DQ25" si="389">EOMONTH(DP25,1)</f>
        <v>46234</v>
      </c>
      <c r="DR25" s="448">
        <f t="shared" ref="DR25" si="390">EOMONTH(DQ25,1)</f>
        <v>46265</v>
      </c>
      <c r="DS25" s="448">
        <f t="shared" ref="DS25" si="391">EOMONTH(DR25,1)</f>
        <v>46295</v>
      </c>
      <c r="DT25" s="448">
        <f t="shared" ref="DT25" si="392">EOMONTH(DS25,1)</f>
        <v>46326</v>
      </c>
      <c r="DU25" s="448">
        <f t="shared" ref="DU25" si="393">EOMONTH(DT25,1)</f>
        <v>46356</v>
      </c>
      <c r="DV25" s="448">
        <f t="shared" ref="DV25" si="394">EOMONTH(DU25,1)</f>
        <v>46387</v>
      </c>
      <c r="DW25" s="448">
        <f t="shared" ref="DW25" si="395">EOMONTH(DV25,1)</f>
        <v>46418</v>
      </c>
      <c r="DX25" s="448">
        <f t="shared" ref="DX25" si="396">EOMONTH(DW25,1)</f>
        <v>46446</v>
      </c>
      <c r="DY25" s="448">
        <f t="shared" ref="DY25" si="397">EOMONTH(DX25,1)</f>
        <v>46477</v>
      </c>
      <c r="DZ25" s="448">
        <f t="shared" ref="DZ25" si="398">EOMONTH(DY25,1)</f>
        <v>46507</v>
      </c>
      <c r="EA25" s="448">
        <f t="shared" ref="EA25" si="399">EOMONTH(DZ25,1)</f>
        <v>46538</v>
      </c>
      <c r="EB25" s="448">
        <f t="shared" ref="EB25" si="400">EOMONTH(EA25,1)</f>
        <v>46568</v>
      </c>
      <c r="EC25" s="448">
        <f t="shared" ref="EC25" si="401">EOMONTH(EB25,1)</f>
        <v>46599</v>
      </c>
      <c r="ED25" s="448">
        <f t="shared" ref="ED25" si="402">EOMONTH(EC25,1)</f>
        <v>46630</v>
      </c>
      <c r="EE25" s="448">
        <f t="shared" ref="EE25" si="403">EOMONTH(ED25,1)</f>
        <v>46660</v>
      </c>
      <c r="EF25" s="448">
        <f t="shared" ref="EF25" si="404">EOMONTH(EE25,1)</f>
        <v>46691</v>
      </c>
      <c r="EG25" s="448">
        <f t="shared" ref="EG25" si="405">EOMONTH(EF25,1)</f>
        <v>46721</v>
      </c>
      <c r="EH25" s="448">
        <f t="shared" ref="EH25" si="406">EOMONTH(EG25,1)</f>
        <v>46752</v>
      </c>
      <c r="EI25" s="448">
        <f t="shared" ref="EI25" si="407">EOMONTH(EH25,1)</f>
        <v>46783</v>
      </c>
      <c r="EJ25" s="448">
        <f t="shared" ref="EJ25" si="408">EOMONTH(EI25,1)</f>
        <v>46812</v>
      </c>
      <c r="EK25" s="448">
        <f t="shared" ref="EK25" si="409">EOMONTH(EJ25,1)</f>
        <v>46843</v>
      </c>
      <c r="EL25" s="448">
        <f t="shared" ref="EL25" si="410">EOMONTH(EK25,1)</f>
        <v>46873</v>
      </c>
      <c r="EM25" s="448">
        <f t="shared" ref="EM25" si="411">EOMONTH(EL25,1)</f>
        <v>46904</v>
      </c>
      <c r="EN25" s="448">
        <f t="shared" ref="EN25" si="412">EOMONTH(EM25,1)</f>
        <v>46934</v>
      </c>
      <c r="EO25" s="448">
        <f t="shared" ref="EO25" si="413">EOMONTH(EN25,1)</f>
        <v>46965</v>
      </c>
      <c r="EP25" s="448">
        <f t="shared" ref="EP25" si="414">EOMONTH(EO25,1)</f>
        <v>46996</v>
      </c>
      <c r="EQ25" s="448">
        <f t="shared" ref="EQ25" si="415">EOMONTH(EP25,1)</f>
        <v>47026</v>
      </c>
      <c r="ER25" s="448">
        <f t="shared" ref="ER25" si="416">EOMONTH(EQ25,1)</f>
        <v>47057</v>
      </c>
      <c r="ES25" s="448">
        <f t="shared" ref="ES25" si="417">EOMONTH(ER25,1)</f>
        <v>47087</v>
      </c>
      <c r="ET25" s="448">
        <f t="shared" ref="ET25" si="418">EOMONTH(ES25,1)</f>
        <v>47118</v>
      </c>
    </row>
    <row r="26" spans="3:150">
      <c r="C26" s="142" t="s">
        <v>161</v>
      </c>
      <c r="D26" s="48" t="s">
        <v>162</v>
      </c>
      <c r="E26" s="160">
        <v>90</v>
      </c>
      <c r="F26" s="137">
        <v>42853</v>
      </c>
      <c r="G26" s="136" t="s">
        <v>159</v>
      </c>
      <c r="H26" s="136" t="s">
        <v>159</v>
      </c>
      <c r="I26" s="136" t="s">
        <v>159</v>
      </c>
      <c r="J26" s="136" t="s">
        <v>159</v>
      </c>
      <c r="K26" s="136" t="s">
        <v>159</v>
      </c>
      <c r="L26" s="136" t="s">
        <v>159</v>
      </c>
      <c r="M26" s="136" t="s">
        <v>159</v>
      </c>
      <c r="N26" s="136" t="s">
        <v>159</v>
      </c>
      <c r="O26" s="136" t="s">
        <v>159</v>
      </c>
      <c r="P26" s="136" t="s">
        <v>159</v>
      </c>
      <c r="Q26" s="136" t="s">
        <v>159</v>
      </c>
      <c r="R26" s="137">
        <v>43210</v>
      </c>
      <c r="S26" s="140" t="str">
        <f t="shared" ref="S26:T26" si="419">IF($D26="Monthly","DUE "&amp;TEXT((S$25+$E26),"m/dd/yy"),IF(AND($D26="Quarterly",OR(MONTH(S$25)=3,MONTH(S$25)=6,MONTH(S$25)=9,MONTH(S$25)=12)),"DUE "&amp;TEXT((S$25+$E26),"m/dd/yy"),IF(AND($D26="Annually",MONTH(S$25)=12),"DUE "&amp;TEXT((S$25+$E26),"m/dd/yy"),"-")))</f>
        <v>-</v>
      </c>
      <c r="T26" s="140" t="str">
        <f t="shared" si="419"/>
        <v>-</v>
      </c>
      <c r="U26" s="140" t="str">
        <f>IF($D26="Monthly","DUE "&amp;TEXT((U$25+$E26),"m/dd/yy"),IF(AND($D26="Quarterly",OR(MONTH(U$25)=3,MONTH(U$25)=6,MONTH(U$25)=9,MONTH(U$25)=12)),"DUE "&amp;TEXT((U$25+$E26),"m/dd/yy"),IF(AND($D26="Annually",MONTH(U$25)=12),"DUE "&amp;TEXT((U$25+$E26),"m/dd/yy"),"-")))</f>
        <v>-</v>
      </c>
      <c r="V26" s="140" t="str">
        <f t="shared" ref="U26:CA30" si="420">IF($D26="Monthly","DUE "&amp;TEXT((V$25+$E26),"m/dd/yy"),IF(AND($D26="Quarterly",OR(MONTH(V$25)=3,MONTH(V$25)=6,MONTH(V$25)=9,MONTH(V$25)=12)),"DUE "&amp;TEXT((V$25+$E26),"m/dd/yy"),IF(AND($D26="Annually",MONTH(V$25)=12),"DUE "&amp;TEXT((V$25+$E26),"m/dd/yy"),"-")))</f>
        <v>-</v>
      </c>
      <c r="W26" s="140" t="str">
        <f t="shared" si="420"/>
        <v>-</v>
      </c>
      <c r="X26" s="140" t="str">
        <f t="shared" si="420"/>
        <v>-</v>
      </c>
      <c r="Y26" s="140" t="str">
        <f t="shared" si="420"/>
        <v>-</v>
      </c>
      <c r="Z26" s="140" t="str">
        <f t="shared" si="420"/>
        <v>-</v>
      </c>
      <c r="AA26" s="140" t="str">
        <f t="shared" si="420"/>
        <v>-</v>
      </c>
      <c r="AB26" s="140" t="str">
        <f t="shared" si="420"/>
        <v>-</v>
      </c>
      <c r="AC26" s="140" t="str">
        <f t="shared" si="420"/>
        <v>-</v>
      </c>
      <c r="AD26" s="137">
        <v>43560</v>
      </c>
      <c r="AE26" s="140" t="str">
        <f t="shared" si="420"/>
        <v>-</v>
      </c>
      <c r="AF26" s="140" t="str">
        <f t="shared" si="420"/>
        <v>-</v>
      </c>
      <c r="AG26" s="140" t="str">
        <f t="shared" si="420"/>
        <v>-</v>
      </c>
      <c r="AH26" s="140" t="str">
        <f t="shared" si="420"/>
        <v>-</v>
      </c>
      <c r="AI26" s="140" t="str">
        <f t="shared" si="420"/>
        <v>-</v>
      </c>
      <c r="AJ26" s="140" t="str">
        <f t="shared" si="420"/>
        <v>-</v>
      </c>
      <c r="AK26" s="140" t="str">
        <f t="shared" si="420"/>
        <v>-</v>
      </c>
      <c r="AL26" s="140" t="str">
        <f t="shared" si="420"/>
        <v>-</v>
      </c>
      <c r="AM26" s="140" t="str">
        <f t="shared" si="420"/>
        <v>-</v>
      </c>
      <c r="AN26" s="140" t="str">
        <f t="shared" si="420"/>
        <v>-</v>
      </c>
      <c r="AO26" s="140" t="str">
        <f t="shared" si="420"/>
        <v>-</v>
      </c>
      <c r="AP26" s="137">
        <v>43909</v>
      </c>
      <c r="AQ26" s="140" t="str">
        <f t="shared" si="420"/>
        <v>-</v>
      </c>
      <c r="AR26" s="140" t="str">
        <f t="shared" si="420"/>
        <v>-</v>
      </c>
      <c r="AS26" s="140" t="str">
        <f t="shared" si="420"/>
        <v>-</v>
      </c>
      <c r="AT26" s="140" t="str">
        <f t="shared" si="420"/>
        <v>-</v>
      </c>
      <c r="AU26" s="140" t="str">
        <f t="shared" si="420"/>
        <v>-</v>
      </c>
      <c r="AV26" s="140" t="str">
        <f t="shared" si="420"/>
        <v>-</v>
      </c>
      <c r="AW26" s="140" t="str">
        <f t="shared" si="420"/>
        <v>-</v>
      </c>
      <c r="AX26" s="140" t="str">
        <f t="shared" si="420"/>
        <v>-</v>
      </c>
      <c r="AY26" s="140" t="str">
        <f t="shared" si="420"/>
        <v>-</v>
      </c>
      <c r="AZ26" s="140" t="str">
        <f t="shared" si="420"/>
        <v>-</v>
      </c>
      <c r="BA26" s="140" t="str">
        <f t="shared" si="420"/>
        <v>-</v>
      </c>
      <c r="BB26" s="137">
        <v>44278</v>
      </c>
      <c r="BC26" s="140" t="str">
        <f t="shared" si="420"/>
        <v>-</v>
      </c>
      <c r="BD26" s="140" t="str">
        <f t="shared" si="420"/>
        <v>-</v>
      </c>
      <c r="BE26" s="140" t="str">
        <f t="shared" si="420"/>
        <v>-</v>
      </c>
      <c r="BF26" s="140" t="str">
        <f t="shared" si="420"/>
        <v>-</v>
      </c>
      <c r="BG26" s="140" t="str">
        <f t="shared" si="420"/>
        <v>-</v>
      </c>
      <c r="BH26" s="140" t="str">
        <f t="shared" si="420"/>
        <v>-</v>
      </c>
      <c r="BI26" s="140" t="str">
        <f t="shared" si="420"/>
        <v>-</v>
      </c>
      <c r="BJ26" s="140" t="str">
        <f t="shared" si="420"/>
        <v>-</v>
      </c>
      <c r="BK26" s="140" t="str">
        <f t="shared" si="420"/>
        <v>-</v>
      </c>
      <c r="BL26" s="140" t="str">
        <f t="shared" si="420"/>
        <v>-</v>
      </c>
      <c r="BM26" s="140" t="str">
        <f t="shared" si="420"/>
        <v>-</v>
      </c>
      <c r="BN26" s="137">
        <v>44655</v>
      </c>
      <c r="BO26" s="140" t="str">
        <f t="shared" si="420"/>
        <v>-</v>
      </c>
      <c r="BP26" s="140" t="str">
        <f t="shared" si="420"/>
        <v>-</v>
      </c>
      <c r="BQ26" s="140" t="str">
        <f t="shared" si="420"/>
        <v>-</v>
      </c>
      <c r="BR26" s="140" t="str">
        <f t="shared" si="420"/>
        <v>-</v>
      </c>
      <c r="BS26" s="140" t="str">
        <f t="shared" si="420"/>
        <v>-</v>
      </c>
      <c r="BT26" s="140" t="str">
        <f t="shared" si="420"/>
        <v>-</v>
      </c>
      <c r="BU26" s="140" t="str">
        <f t="shared" si="420"/>
        <v>-</v>
      </c>
      <c r="BV26" s="140" t="str">
        <f t="shared" si="420"/>
        <v>-</v>
      </c>
      <c r="BW26" s="140" t="str">
        <f t="shared" si="420"/>
        <v>-</v>
      </c>
      <c r="BX26" s="140" t="str">
        <f t="shared" si="420"/>
        <v>-</v>
      </c>
      <c r="BY26" s="140" t="str">
        <f t="shared" si="420"/>
        <v>-</v>
      </c>
      <c r="BZ26" s="137">
        <v>44979</v>
      </c>
      <c r="CA26" s="140" t="str">
        <f t="shared" si="420"/>
        <v>-</v>
      </c>
      <c r="CB26" s="140" t="str">
        <f t="shared" ref="CA26:DN30" si="421">IF($D26="Monthly","DUE "&amp;TEXT((CB$25+$E26),"m/dd/yy"),IF(AND($D26="Quarterly",OR(MONTH(CB$25)=3,MONTH(CB$25)=6,MONTH(CB$25)=9,MONTH(CB$25)=12)),"DUE "&amp;TEXT((CB$25+$E26),"m/dd/yy"),IF(AND($D26="Annually",MONTH(CB$25)=12),"DUE "&amp;TEXT((CB$25+$E26),"m/dd/yy"),"-")))</f>
        <v>-</v>
      </c>
      <c r="CC26" s="140" t="str">
        <f t="shared" si="421"/>
        <v>-</v>
      </c>
      <c r="CD26" s="140" t="str">
        <f t="shared" si="421"/>
        <v>-</v>
      </c>
      <c r="CE26" s="140" t="str">
        <f t="shared" si="421"/>
        <v>-</v>
      </c>
      <c r="CF26" s="140" t="str">
        <f t="shared" si="421"/>
        <v>-</v>
      </c>
      <c r="CG26" s="140" t="str">
        <f t="shared" si="421"/>
        <v>-</v>
      </c>
      <c r="CH26" s="140" t="str">
        <f t="shared" si="421"/>
        <v>-</v>
      </c>
      <c r="CI26" s="140" t="str">
        <f t="shared" si="421"/>
        <v>-</v>
      </c>
      <c r="CJ26" s="140" t="str">
        <f t="shared" si="421"/>
        <v>-</v>
      </c>
      <c r="CK26" s="140" t="str">
        <f t="shared" si="421"/>
        <v>-</v>
      </c>
      <c r="CL26" s="137">
        <v>45344</v>
      </c>
      <c r="CM26" s="140" t="str">
        <f t="shared" si="421"/>
        <v>-</v>
      </c>
      <c r="CN26" s="140" t="str">
        <f t="shared" si="421"/>
        <v>-</v>
      </c>
      <c r="CO26" s="140" t="str">
        <f t="shared" si="421"/>
        <v>-</v>
      </c>
      <c r="CP26" s="140" t="str">
        <f t="shared" si="421"/>
        <v>-</v>
      </c>
      <c r="CQ26" s="140" t="str">
        <f t="shared" si="421"/>
        <v>-</v>
      </c>
      <c r="CR26" s="140" t="str">
        <f t="shared" si="421"/>
        <v>-</v>
      </c>
      <c r="CS26" s="140" t="str">
        <f t="shared" si="421"/>
        <v>-</v>
      </c>
      <c r="CT26" s="140" t="str">
        <f t="shared" si="421"/>
        <v>-</v>
      </c>
      <c r="CU26" s="140" t="str">
        <f t="shared" si="421"/>
        <v>-</v>
      </c>
      <c r="CV26" s="140" t="str">
        <f t="shared" si="421"/>
        <v>-</v>
      </c>
      <c r="CW26" s="140" t="str">
        <f t="shared" si="421"/>
        <v>-</v>
      </c>
      <c r="CX26" s="137">
        <v>45721</v>
      </c>
      <c r="CY26" s="140" t="str">
        <f t="shared" si="421"/>
        <v>-</v>
      </c>
      <c r="CZ26" s="140" t="str">
        <f t="shared" si="421"/>
        <v>-</v>
      </c>
      <c r="DA26" s="140" t="str">
        <f t="shared" si="421"/>
        <v>-</v>
      </c>
      <c r="DB26" s="140" t="str">
        <f t="shared" si="421"/>
        <v>-</v>
      </c>
      <c r="DC26" s="140" t="str">
        <f t="shared" si="421"/>
        <v>-</v>
      </c>
      <c r="DD26" s="140" t="str">
        <f t="shared" si="421"/>
        <v>-</v>
      </c>
      <c r="DE26" s="140" t="str">
        <f t="shared" si="421"/>
        <v>-</v>
      </c>
      <c r="DF26" s="140" t="str">
        <f t="shared" si="421"/>
        <v>-</v>
      </c>
      <c r="DG26" s="140" t="str">
        <f t="shared" si="421"/>
        <v>-</v>
      </c>
      <c r="DH26" s="140" t="str">
        <f t="shared" si="421"/>
        <v>-</v>
      </c>
      <c r="DI26" s="140" t="str">
        <f t="shared" si="421"/>
        <v>-</v>
      </c>
      <c r="DJ26" s="137">
        <v>46076</v>
      </c>
      <c r="DK26" s="140" t="str">
        <f t="shared" si="421"/>
        <v>-</v>
      </c>
      <c r="DL26" s="140" t="str">
        <f t="shared" si="421"/>
        <v>-</v>
      </c>
      <c r="DM26" s="140" t="str">
        <f t="shared" si="421"/>
        <v>-</v>
      </c>
      <c r="DN26" s="140" t="str">
        <f t="shared" si="421"/>
        <v>-</v>
      </c>
      <c r="DO26" s="140" t="str">
        <f t="shared" ref="DN26:ET30" si="422">IF($D26="Monthly","DUE "&amp;TEXT((DO$25+$E26),"m/dd/yy"),IF(AND($D26="Quarterly",OR(MONTH(DO$25)=3,MONTH(DO$25)=6,MONTH(DO$25)=9,MONTH(DO$25)=12)),"DUE "&amp;TEXT((DO$25+$E26),"m/dd/yy"),IF(AND($D26="Annually",MONTH(DO$25)=12),"DUE "&amp;TEXT((DO$25+$E26),"m/dd/yy"),"-")))</f>
        <v>-</v>
      </c>
      <c r="DP26" s="140" t="str">
        <f t="shared" si="422"/>
        <v>-</v>
      </c>
      <c r="DQ26" s="140" t="str">
        <f t="shared" si="422"/>
        <v>-</v>
      </c>
      <c r="DR26" s="140" t="str">
        <f t="shared" si="422"/>
        <v>-</v>
      </c>
      <c r="DS26" s="140" t="str">
        <f t="shared" si="422"/>
        <v>-</v>
      </c>
      <c r="DT26" s="140" t="str">
        <f t="shared" si="422"/>
        <v>-</v>
      </c>
      <c r="DU26" s="140" t="str">
        <f t="shared" si="422"/>
        <v>-</v>
      </c>
      <c r="DV26" s="140" t="str">
        <f t="shared" si="422"/>
        <v>DUE 3/31/27</v>
      </c>
      <c r="DW26" s="140" t="str">
        <f t="shared" si="422"/>
        <v>-</v>
      </c>
      <c r="DX26" s="140" t="str">
        <f t="shared" si="422"/>
        <v>-</v>
      </c>
      <c r="DY26" s="140" t="str">
        <f t="shared" si="422"/>
        <v>-</v>
      </c>
      <c r="DZ26" s="140" t="str">
        <f t="shared" si="422"/>
        <v>-</v>
      </c>
      <c r="EA26" s="140" t="str">
        <f t="shared" si="422"/>
        <v>-</v>
      </c>
      <c r="EB26" s="140" t="str">
        <f t="shared" si="422"/>
        <v>-</v>
      </c>
      <c r="EC26" s="140" t="str">
        <f t="shared" si="422"/>
        <v>-</v>
      </c>
      <c r="ED26" s="140" t="str">
        <f t="shared" si="422"/>
        <v>-</v>
      </c>
      <c r="EE26" s="140" t="str">
        <f t="shared" si="422"/>
        <v>-</v>
      </c>
      <c r="EF26" s="140" t="str">
        <f t="shared" si="422"/>
        <v>-</v>
      </c>
      <c r="EG26" s="140" t="str">
        <f t="shared" si="422"/>
        <v>-</v>
      </c>
      <c r="EH26" s="140" t="str">
        <f t="shared" si="422"/>
        <v>DUE 3/30/28</v>
      </c>
      <c r="EI26" s="140" t="str">
        <f t="shared" si="422"/>
        <v>-</v>
      </c>
      <c r="EJ26" s="140" t="str">
        <f t="shared" si="422"/>
        <v>-</v>
      </c>
      <c r="EK26" s="140" t="str">
        <f t="shared" si="422"/>
        <v>-</v>
      </c>
      <c r="EL26" s="140" t="str">
        <f t="shared" si="422"/>
        <v>-</v>
      </c>
      <c r="EM26" s="140" t="str">
        <f t="shared" si="422"/>
        <v>-</v>
      </c>
      <c r="EN26" s="140" t="str">
        <f t="shared" si="422"/>
        <v>-</v>
      </c>
      <c r="EO26" s="140" t="str">
        <f t="shared" si="422"/>
        <v>-</v>
      </c>
      <c r="EP26" s="140" t="str">
        <f t="shared" si="422"/>
        <v>-</v>
      </c>
      <c r="EQ26" s="140" t="str">
        <f t="shared" si="422"/>
        <v>-</v>
      </c>
      <c r="ER26" s="140" t="str">
        <f t="shared" si="422"/>
        <v>-</v>
      </c>
      <c r="ES26" s="140" t="str">
        <f t="shared" si="422"/>
        <v>-</v>
      </c>
      <c r="ET26" s="140" t="str">
        <f t="shared" si="422"/>
        <v>DUE 3/31/29</v>
      </c>
    </row>
    <row r="27" spans="3:150">
      <c r="C27" s="161" t="s">
        <v>163</v>
      </c>
      <c r="D27" s="48" t="s">
        <v>164</v>
      </c>
      <c r="E27" s="160">
        <v>45</v>
      </c>
      <c r="F27" s="137">
        <v>42853</v>
      </c>
      <c r="G27" s="136" t="s">
        <v>159</v>
      </c>
      <c r="H27" s="136" t="s">
        <v>159</v>
      </c>
      <c r="I27" s="138">
        <v>42858</v>
      </c>
      <c r="J27" s="136" t="s">
        <v>159</v>
      </c>
      <c r="K27" s="136" t="s">
        <v>159</v>
      </c>
      <c r="L27" s="138">
        <v>42968</v>
      </c>
      <c r="M27" s="136" t="s">
        <v>159</v>
      </c>
      <c r="N27" s="136" t="s">
        <v>159</v>
      </c>
      <c r="O27" s="138">
        <v>43047</v>
      </c>
      <c r="P27" s="136" t="s">
        <v>159</v>
      </c>
      <c r="Q27" s="136" t="s">
        <v>159</v>
      </c>
      <c r="R27" s="137">
        <v>43210</v>
      </c>
      <c r="S27" s="137" t="s">
        <v>159</v>
      </c>
      <c r="T27" s="137" t="s">
        <v>159</v>
      </c>
      <c r="U27" s="137">
        <v>43243</v>
      </c>
      <c r="V27" s="140" t="str">
        <f t="shared" si="420"/>
        <v>-</v>
      </c>
      <c r="W27" s="140" t="str">
        <f t="shared" si="420"/>
        <v>-</v>
      </c>
      <c r="X27" s="137">
        <v>43332</v>
      </c>
      <c r="Y27" s="140" t="str">
        <f t="shared" si="420"/>
        <v>-</v>
      </c>
      <c r="Z27" s="140" t="str">
        <f t="shared" si="420"/>
        <v>-</v>
      </c>
      <c r="AA27" s="137">
        <v>43424</v>
      </c>
      <c r="AB27" s="140" t="str">
        <f t="shared" si="420"/>
        <v>-</v>
      </c>
      <c r="AC27" s="140" t="str">
        <f t="shared" si="420"/>
        <v>-</v>
      </c>
      <c r="AD27" s="137">
        <v>43560</v>
      </c>
      <c r="AE27" s="140" t="str">
        <f t="shared" si="420"/>
        <v>-</v>
      </c>
      <c r="AF27" s="140" t="str">
        <f t="shared" si="420"/>
        <v>-</v>
      </c>
      <c r="AG27" s="137">
        <v>43602</v>
      </c>
      <c r="AH27" s="140" t="str">
        <f t="shared" si="420"/>
        <v>-</v>
      </c>
      <c r="AI27" s="140" t="str">
        <f t="shared" si="420"/>
        <v>-</v>
      </c>
      <c r="AJ27" s="137">
        <v>43683</v>
      </c>
      <c r="AK27" s="140" t="str">
        <f t="shared" si="420"/>
        <v>-</v>
      </c>
      <c r="AL27" s="140" t="str">
        <f t="shared" si="420"/>
        <v>-</v>
      </c>
      <c r="AM27" s="137">
        <v>43791</v>
      </c>
      <c r="AN27" s="140" t="str">
        <f t="shared" si="420"/>
        <v>-</v>
      </c>
      <c r="AO27" s="140" t="str">
        <f t="shared" si="420"/>
        <v>-</v>
      </c>
      <c r="AP27" s="137">
        <v>43909</v>
      </c>
      <c r="AQ27" s="140" t="str">
        <f t="shared" si="420"/>
        <v>-</v>
      </c>
      <c r="AR27" s="140" t="str">
        <f t="shared" si="420"/>
        <v>-</v>
      </c>
      <c r="AS27" s="137">
        <v>43966</v>
      </c>
      <c r="AT27" s="140" t="str">
        <f t="shared" si="420"/>
        <v>-</v>
      </c>
      <c r="AU27" s="140" t="str">
        <f t="shared" si="420"/>
        <v>-</v>
      </c>
      <c r="AV27" s="137">
        <v>44070</v>
      </c>
      <c r="AW27" s="140" t="str">
        <f t="shared" si="420"/>
        <v>-</v>
      </c>
      <c r="AX27" s="140" t="str">
        <f t="shared" si="420"/>
        <v>-</v>
      </c>
      <c r="AY27" s="137">
        <v>44152</v>
      </c>
      <c r="AZ27" s="140" t="str">
        <f t="shared" si="420"/>
        <v>-</v>
      </c>
      <c r="BA27" s="140" t="str">
        <f t="shared" si="420"/>
        <v>-</v>
      </c>
      <c r="BB27" s="137">
        <v>44250</v>
      </c>
      <c r="BC27" s="140" t="str">
        <f t="shared" si="420"/>
        <v>-</v>
      </c>
      <c r="BD27" s="140" t="str">
        <f t="shared" si="420"/>
        <v>-</v>
      </c>
      <c r="BE27" s="137">
        <v>44418</v>
      </c>
      <c r="BF27" s="140" t="str">
        <f t="shared" si="420"/>
        <v>-</v>
      </c>
      <c r="BG27" s="140" t="str">
        <f t="shared" si="420"/>
        <v>-</v>
      </c>
      <c r="BH27" s="137">
        <v>44440</v>
      </c>
      <c r="BI27" s="140" t="str">
        <f t="shared" si="420"/>
        <v>-</v>
      </c>
      <c r="BJ27" s="140" t="str">
        <f t="shared" si="420"/>
        <v>-</v>
      </c>
      <c r="BK27" s="137">
        <v>44602</v>
      </c>
      <c r="BL27" s="140" t="str">
        <f t="shared" si="420"/>
        <v>-</v>
      </c>
      <c r="BM27" s="140" t="str">
        <f t="shared" si="420"/>
        <v>-</v>
      </c>
      <c r="BN27" s="137">
        <v>44655</v>
      </c>
      <c r="BO27" s="140" t="str">
        <f t="shared" si="420"/>
        <v>-</v>
      </c>
      <c r="BP27" s="140" t="str">
        <f t="shared" si="420"/>
        <v>-</v>
      </c>
      <c r="BQ27" s="549">
        <v>44768</v>
      </c>
      <c r="BR27" s="140" t="str">
        <f t="shared" si="420"/>
        <v>-</v>
      </c>
      <c r="BS27" s="140" t="str">
        <f t="shared" si="420"/>
        <v>-</v>
      </c>
      <c r="BT27" s="137">
        <v>44848</v>
      </c>
      <c r="BU27" s="140" t="str">
        <f t="shared" si="420"/>
        <v>-</v>
      </c>
      <c r="BV27" s="140" t="str">
        <f t="shared" si="420"/>
        <v>-</v>
      </c>
      <c r="BW27" s="137">
        <v>44883</v>
      </c>
      <c r="BX27" s="140" t="str">
        <f t="shared" si="420"/>
        <v>-</v>
      </c>
      <c r="BY27" s="140" t="str">
        <f t="shared" si="420"/>
        <v>-</v>
      </c>
      <c r="BZ27" s="137">
        <v>44979</v>
      </c>
      <c r="CA27" s="140" t="str">
        <f t="shared" si="421"/>
        <v>-</v>
      </c>
      <c r="CB27" s="140" t="str">
        <f t="shared" si="421"/>
        <v>-</v>
      </c>
      <c r="CC27" s="137">
        <v>45099</v>
      </c>
      <c r="CD27" s="140" t="str">
        <f t="shared" si="421"/>
        <v>-</v>
      </c>
      <c r="CE27" s="140" t="str">
        <f t="shared" si="421"/>
        <v>-</v>
      </c>
      <c r="CF27" s="137">
        <v>45146</v>
      </c>
      <c r="CG27" s="140" t="str">
        <f t="shared" si="421"/>
        <v>-</v>
      </c>
      <c r="CH27" s="140" t="str">
        <f t="shared" si="421"/>
        <v>-</v>
      </c>
      <c r="CI27" s="137">
        <v>45233</v>
      </c>
      <c r="CJ27" s="140" t="str">
        <f t="shared" si="421"/>
        <v>-</v>
      </c>
      <c r="CK27" s="140" t="str">
        <f t="shared" si="421"/>
        <v>-</v>
      </c>
      <c r="CL27" s="137">
        <v>45344</v>
      </c>
      <c r="CM27" s="140" t="str">
        <f t="shared" si="421"/>
        <v>-</v>
      </c>
      <c r="CN27" s="140" t="str">
        <f t="shared" si="421"/>
        <v>-</v>
      </c>
      <c r="CO27" s="137">
        <v>45453</v>
      </c>
      <c r="CP27" s="140" t="str">
        <f t="shared" si="421"/>
        <v>-</v>
      </c>
      <c r="CQ27" s="140" t="str">
        <f t="shared" si="421"/>
        <v>-</v>
      </c>
      <c r="CR27" s="137">
        <v>45516</v>
      </c>
      <c r="CS27" s="140" t="str">
        <f t="shared" si="421"/>
        <v>-</v>
      </c>
      <c r="CT27" s="140" t="str">
        <f t="shared" si="421"/>
        <v>-</v>
      </c>
      <c r="CU27" s="137">
        <v>45628</v>
      </c>
      <c r="CV27" s="140" t="str">
        <f t="shared" si="421"/>
        <v>-</v>
      </c>
      <c r="CW27" s="140" t="str">
        <f t="shared" si="421"/>
        <v>-</v>
      </c>
      <c r="CX27" s="137">
        <v>45721</v>
      </c>
      <c r="CY27" s="140" t="str">
        <f t="shared" si="421"/>
        <v>-</v>
      </c>
      <c r="CZ27" s="140" t="str">
        <f t="shared" si="421"/>
        <v>-</v>
      </c>
      <c r="DA27" s="137">
        <v>45783</v>
      </c>
      <c r="DB27" s="140" t="str">
        <f t="shared" si="421"/>
        <v>-</v>
      </c>
      <c r="DC27" s="140" t="str">
        <f t="shared" si="421"/>
        <v>-</v>
      </c>
      <c r="DD27" s="137">
        <v>45883</v>
      </c>
      <c r="DE27" s="140" t="str">
        <f t="shared" si="421"/>
        <v>-</v>
      </c>
      <c r="DF27" s="140" t="str">
        <f t="shared" si="421"/>
        <v>-</v>
      </c>
      <c r="DG27" s="137">
        <v>45973</v>
      </c>
      <c r="DH27" s="140" t="str">
        <f t="shared" si="421"/>
        <v>-</v>
      </c>
      <c r="DI27" s="140" t="str">
        <f t="shared" si="421"/>
        <v>-</v>
      </c>
      <c r="DJ27" s="137">
        <v>46076</v>
      </c>
      <c r="DK27" s="140" t="str">
        <f t="shared" si="421"/>
        <v>-</v>
      </c>
      <c r="DL27" s="140" t="str">
        <f t="shared" si="421"/>
        <v>-</v>
      </c>
      <c r="DM27" s="137">
        <v>46157</v>
      </c>
      <c r="DN27" s="140" t="str">
        <f t="shared" si="422"/>
        <v>-</v>
      </c>
      <c r="DO27" s="140" t="str">
        <f t="shared" si="422"/>
        <v>-</v>
      </c>
      <c r="DP27" s="140" t="str">
        <f t="shared" si="422"/>
        <v>DUE 8/14/26</v>
      </c>
      <c r="DQ27" s="140" t="str">
        <f t="shared" si="422"/>
        <v>-</v>
      </c>
      <c r="DR27" s="140" t="str">
        <f t="shared" si="422"/>
        <v>-</v>
      </c>
      <c r="DS27" s="140" t="str">
        <f t="shared" si="422"/>
        <v>DUE 11/14/26</v>
      </c>
      <c r="DT27" s="140" t="str">
        <f t="shared" si="422"/>
        <v>-</v>
      </c>
      <c r="DU27" s="140" t="str">
        <f t="shared" si="422"/>
        <v>-</v>
      </c>
      <c r="DV27" s="140" t="str">
        <f t="shared" si="422"/>
        <v>DUE 2/14/27</v>
      </c>
      <c r="DW27" s="140" t="str">
        <f t="shared" si="422"/>
        <v>-</v>
      </c>
      <c r="DX27" s="140" t="str">
        <f t="shared" si="422"/>
        <v>-</v>
      </c>
      <c r="DY27" s="140" t="str">
        <f t="shared" si="422"/>
        <v>DUE 5/15/27</v>
      </c>
      <c r="DZ27" s="140" t="str">
        <f t="shared" si="422"/>
        <v>-</v>
      </c>
      <c r="EA27" s="140" t="str">
        <f t="shared" si="422"/>
        <v>-</v>
      </c>
      <c r="EB27" s="140" t="str">
        <f t="shared" si="422"/>
        <v>DUE 8/14/27</v>
      </c>
      <c r="EC27" s="140" t="str">
        <f t="shared" si="422"/>
        <v>-</v>
      </c>
      <c r="ED27" s="140" t="str">
        <f t="shared" si="422"/>
        <v>-</v>
      </c>
      <c r="EE27" s="140" t="str">
        <f t="shared" si="422"/>
        <v>DUE 11/14/27</v>
      </c>
      <c r="EF27" s="140" t="str">
        <f t="shared" si="422"/>
        <v>-</v>
      </c>
      <c r="EG27" s="140" t="str">
        <f t="shared" si="422"/>
        <v>-</v>
      </c>
      <c r="EH27" s="140" t="str">
        <f t="shared" si="422"/>
        <v>DUE 2/14/28</v>
      </c>
      <c r="EI27" s="140" t="str">
        <f t="shared" si="422"/>
        <v>-</v>
      </c>
      <c r="EJ27" s="140" t="str">
        <f t="shared" si="422"/>
        <v>-</v>
      </c>
      <c r="EK27" s="140" t="str">
        <f t="shared" si="422"/>
        <v>DUE 5/15/28</v>
      </c>
      <c r="EL27" s="140" t="str">
        <f t="shared" si="422"/>
        <v>-</v>
      </c>
      <c r="EM27" s="140" t="str">
        <f t="shared" si="422"/>
        <v>-</v>
      </c>
      <c r="EN27" s="140" t="str">
        <f t="shared" si="422"/>
        <v>DUE 8/14/28</v>
      </c>
      <c r="EO27" s="140" t="str">
        <f t="shared" si="422"/>
        <v>-</v>
      </c>
      <c r="EP27" s="140" t="str">
        <f t="shared" si="422"/>
        <v>-</v>
      </c>
      <c r="EQ27" s="140" t="str">
        <f t="shared" si="422"/>
        <v>DUE 11/14/28</v>
      </c>
      <c r="ER27" s="140" t="str">
        <f t="shared" si="422"/>
        <v>-</v>
      </c>
      <c r="ES27" s="140" t="str">
        <f t="shared" si="422"/>
        <v>-</v>
      </c>
      <c r="ET27" s="140" t="str">
        <f t="shared" si="422"/>
        <v>DUE 2/14/29</v>
      </c>
    </row>
    <row r="28" spans="3:150">
      <c r="C28" s="161" t="s">
        <v>165</v>
      </c>
      <c r="D28" s="48" t="s">
        <v>164</v>
      </c>
      <c r="E28" s="160">
        <v>45</v>
      </c>
      <c r="F28" s="137">
        <v>42824</v>
      </c>
      <c r="G28" s="136" t="s">
        <v>159</v>
      </c>
      <c r="H28" s="136" t="s">
        <v>159</v>
      </c>
      <c r="I28" s="138">
        <v>42858</v>
      </c>
      <c r="J28" s="136" t="s">
        <v>159</v>
      </c>
      <c r="K28" s="136" t="s">
        <v>159</v>
      </c>
      <c r="L28" s="138">
        <v>42968</v>
      </c>
      <c r="M28" s="136" t="s">
        <v>159</v>
      </c>
      <c r="N28" s="136" t="s">
        <v>159</v>
      </c>
      <c r="O28" s="138">
        <v>43047</v>
      </c>
      <c r="P28" s="136" t="s">
        <v>159</v>
      </c>
      <c r="Q28" s="136" t="s">
        <v>159</v>
      </c>
      <c r="R28" s="137">
        <v>43210</v>
      </c>
      <c r="S28" s="137" t="s">
        <v>159</v>
      </c>
      <c r="T28" s="137" t="s">
        <v>159</v>
      </c>
      <c r="U28" s="137">
        <v>43238</v>
      </c>
      <c r="V28" s="140" t="str">
        <f t="shared" si="420"/>
        <v>-</v>
      </c>
      <c r="W28" s="140" t="str">
        <f t="shared" si="420"/>
        <v>-</v>
      </c>
      <c r="X28" s="137">
        <v>43347</v>
      </c>
      <c r="Y28" s="140" t="str">
        <f t="shared" si="420"/>
        <v>-</v>
      </c>
      <c r="Z28" s="140" t="str">
        <f t="shared" si="420"/>
        <v>-</v>
      </c>
      <c r="AA28" s="137">
        <v>43523</v>
      </c>
      <c r="AB28" s="140" t="str">
        <f t="shared" si="420"/>
        <v>-</v>
      </c>
      <c r="AC28" s="140" t="str">
        <f t="shared" si="420"/>
        <v>-</v>
      </c>
      <c r="AD28" s="137">
        <v>43559</v>
      </c>
      <c r="AE28" s="140" t="str">
        <f t="shared" si="420"/>
        <v>-</v>
      </c>
      <c r="AF28" s="140" t="str">
        <f t="shared" si="420"/>
        <v>-</v>
      </c>
      <c r="AG28" s="137">
        <v>43602</v>
      </c>
      <c r="AH28" s="140" t="str">
        <f t="shared" si="420"/>
        <v>-</v>
      </c>
      <c r="AI28" s="140" t="str">
        <f t="shared" si="420"/>
        <v>-</v>
      </c>
      <c r="AJ28" s="137">
        <v>43721</v>
      </c>
      <c r="AK28" s="140" t="str">
        <f t="shared" si="420"/>
        <v>-</v>
      </c>
      <c r="AL28" s="140" t="str">
        <f t="shared" si="420"/>
        <v>-</v>
      </c>
      <c r="AM28" s="137">
        <v>43791</v>
      </c>
      <c r="AN28" s="140" t="str">
        <f t="shared" si="420"/>
        <v>-</v>
      </c>
      <c r="AO28" s="140" t="str">
        <f t="shared" si="420"/>
        <v>-</v>
      </c>
      <c r="AP28" s="137">
        <v>43928</v>
      </c>
      <c r="AQ28" s="140" t="str">
        <f t="shared" si="420"/>
        <v>-</v>
      </c>
      <c r="AR28" s="140" t="str">
        <f t="shared" si="420"/>
        <v>-</v>
      </c>
      <c r="AS28" s="137">
        <v>43966</v>
      </c>
      <c r="AT28" s="140" t="str">
        <f t="shared" si="420"/>
        <v>-</v>
      </c>
      <c r="AU28" s="140" t="str">
        <f t="shared" si="420"/>
        <v>-</v>
      </c>
      <c r="AV28" s="137">
        <v>44067</v>
      </c>
      <c r="AW28" s="140" t="str">
        <f t="shared" si="420"/>
        <v>-</v>
      </c>
      <c r="AX28" s="140" t="str">
        <f t="shared" si="420"/>
        <v>-</v>
      </c>
      <c r="AY28" s="140" t="str">
        <f t="shared" si="420"/>
        <v>DUE 11/14/20</v>
      </c>
      <c r="AZ28" s="140" t="str">
        <f t="shared" si="420"/>
        <v>-</v>
      </c>
      <c r="BA28" s="140" t="str">
        <f t="shared" si="420"/>
        <v>-</v>
      </c>
      <c r="BB28" s="137">
        <v>44278</v>
      </c>
      <c r="BC28" s="140" t="str">
        <f t="shared" si="420"/>
        <v>-</v>
      </c>
      <c r="BD28" s="140" t="str">
        <f t="shared" si="420"/>
        <v>-</v>
      </c>
      <c r="BE28" s="137">
        <v>44418</v>
      </c>
      <c r="BF28" s="140" t="str">
        <f t="shared" si="420"/>
        <v>-</v>
      </c>
      <c r="BG28" s="140" t="str">
        <f t="shared" si="420"/>
        <v>-</v>
      </c>
      <c r="BH28" s="137">
        <v>44440</v>
      </c>
      <c r="BI28" s="140" t="str">
        <f t="shared" si="420"/>
        <v>-</v>
      </c>
      <c r="BJ28" s="140" t="str">
        <f t="shared" si="420"/>
        <v>-</v>
      </c>
      <c r="BK28" s="137">
        <v>44602</v>
      </c>
      <c r="BL28" s="140" t="str">
        <f t="shared" si="420"/>
        <v>-</v>
      </c>
      <c r="BM28" s="140" t="str">
        <f t="shared" si="420"/>
        <v>-</v>
      </c>
      <c r="BN28" s="137">
        <v>44655</v>
      </c>
      <c r="BO28" s="140" t="str">
        <f t="shared" si="420"/>
        <v>-</v>
      </c>
      <c r="BP28" s="140" t="str">
        <f t="shared" si="420"/>
        <v>-</v>
      </c>
      <c r="BQ28" s="549">
        <v>44768</v>
      </c>
      <c r="BR28" s="140" t="str">
        <f t="shared" si="420"/>
        <v>-</v>
      </c>
      <c r="BS28" s="140" t="str">
        <f t="shared" si="420"/>
        <v>-</v>
      </c>
      <c r="BT28" s="137">
        <v>44858</v>
      </c>
      <c r="BU28" s="140" t="str">
        <f t="shared" si="420"/>
        <v>-</v>
      </c>
      <c r="BV28" s="140" t="str">
        <f t="shared" si="420"/>
        <v>-</v>
      </c>
      <c r="BW28" s="137">
        <v>44883</v>
      </c>
      <c r="BX28" s="140" t="str">
        <f t="shared" si="420"/>
        <v>-</v>
      </c>
      <c r="BY28" s="140" t="str">
        <f t="shared" si="420"/>
        <v>-</v>
      </c>
      <c r="BZ28" s="137">
        <v>45002</v>
      </c>
      <c r="CA28" s="140" t="str">
        <f t="shared" si="421"/>
        <v>-</v>
      </c>
      <c r="CB28" s="140" t="str">
        <f t="shared" si="421"/>
        <v>-</v>
      </c>
      <c r="CC28" s="137">
        <v>45099</v>
      </c>
      <c r="CD28" s="140" t="str">
        <f t="shared" si="421"/>
        <v>-</v>
      </c>
      <c r="CE28" s="140" t="str">
        <f t="shared" si="421"/>
        <v>-</v>
      </c>
      <c r="CF28" s="137">
        <v>45156</v>
      </c>
      <c r="CG28" s="140" t="str">
        <f t="shared" si="421"/>
        <v>-</v>
      </c>
      <c r="CH28" s="140" t="str">
        <f t="shared" si="421"/>
        <v>-</v>
      </c>
      <c r="CI28" s="137">
        <v>45233</v>
      </c>
      <c r="CJ28" s="140" t="str">
        <f t="shared" si="421"/>
        <v>-</v>
      </c>
      <c r="CK28" s="140" t="str">
        <f t="shared" si="421"/>
        <v>-</v>
      </c>
      <c r="CL28" s="137">
        <v>45364</v>
      </c>
      <c r="CM28" s="140" t="str">
        <f t="shared" si="421"/>
        <v>-</v>
      </c>
      <c r="CN28" s="140" t="str">
        <f t="shared" si="421"/>
        <v>-</v>
      </c>
      <c r="CO28" s="137">
        <v>45454</v>
      </c>
      <c r="CP28" s="140" t="str">
        <f t="shared" si="421"/>
        <v>-</v>
      </c>
      <c r="CQ28" s="140" t="str">
        <f t="shared" si="421"/>
        <v>-</v>
      </c>
      <c r="CR28" s="137">
        <v>45516</v>
      </c>
      <c r="CS28" s="140" t="str">
        <f t="shared" si="421"/>
        <v>-</v>
      </c>
      <c r="CT28" s="140" t="str">
        <f t="shared" si="421"/>
        <v>-</v>
      </c>
      <c r="CU28" s="137">
        <v>45628</v>
      </c>
      <c r="CV28" s="140" t="str">
        <f t="shared" si="421"/>
        <v>-</v>
      </c>
      <c r="CW28" s="140" t="str">
        <f t="shared" si="421"/>
        <v>-</v>
      </c>
      <c r="CX28" s="137">
        <v>45723</v>
      </c>
      <c r="CY28" s="140" t="str">
        <f t="shared" si="421"/>
        <v>-</v>
      </c>
      <c r="CZ28" s="140" t="str">
        <f t="shared" si="421"/>
        <v>-</v>
      </c>
      <c r="DA28" s="137">
        <v>45784</v>
      </c>
      <c r="DB28" s="140" t="str">
        <f t="shared" si="421"/>
        <v>-</v>
      </c>
      <c r="DC28" s="140" t="str">
        <f t="shared" si="421"/>
        <v>-</v>
      </c>
      <c r="DD28" s="137">
        <v>45883</v>
      </c>
      <c r="DE28" s="140" t="str">
        <f t="shared" si="421"/>
        <v>-</v>
      </c>
      <c r="DF28" s="140" t="str">
        <f t="shared" si="421"/>
        <v>-</v>
      </c>
      <c r="DG28" s="137">
        <v>45973</v>
      </c>
      <c r="DH28" s="140" t="str">
        <f t="shared" si="421"/>
        <v>-</v>
      </c>
      <c r="DI28" s="140" t="str">
        <f t="shared" si="421"/>
        <v>-</v>
      </c>
      <c r="DJ28" s="137">
        <v>46056</v>
      </c>
      <c r="DK28" s="140" t="str">
        <f t="shared" si="421"/>
        <v>-</v>
      </c>
      <c r="DL28" s="140" t="str">
        <f t="shared" si="421"/>
        <v>-</v>
      </c>
      <c r="DM28" s="137">
        <v>46157</v>
      </c>
      <c r="DN28" s="140" t="str">
        <f t="shared" si="422"/>
        <v>-</v>
      </c>
      <c r="DO28" s="140" t="str">
        <f t="shared" si="422"/>
        <v>-</v>
      </c>
      <c r="DP28" s="140" t="str">
        <f t="shared" si="422"/>
        <v>DUE 8/14/26</v>
      </c>
      <c r="DQ28" s="140" t="str">
        <f t="shared" si="422"/>
        <v>-</v>
      </c>
      <c r="DR28" s="140" t="str">
        <f t="shared" si="422"/>
        <v>-</v>
      </c>
      <c r="DS28" s="140" t="str">
        <f t="shared" si="422"/>
        <v>DUE 11/14/26</v>
      </c>
      <c r="DT28" s="140" t="str">
        <f t="shared" si="422"/>
        <v>-</v>
      </c>
      <c r="DU28" s="140" t="str">
        <f t="shared" si="422"/>
        <v>-</v>
      </c>
      <c r="DV28" s="140" t="str">
        <f t="shared" si="422"/>
        <v>DUE 2/14/27</v>
      </c>
      <c r="DW28" s="140" t="str">
        <f t="shared" si="422"/>
        <v>-</v>
      </c>
      <c r="DX28" s="140" t="str">
        <f t="shared" si="422"/>
        <v>-</v>
      </c>
      <c r="DY28" s="140" t="str">
        <f t="shared" si="422"/>
        <v>DUE 5/15/27</v>
      </c>
      <c r="DZ28" s="140" t="str">
        <f t="shared" si="422"/>
        <v>-</v>
      </c>
      <c r="EA28" s="140" t="str">
        <f t="shared" si="422"/>
        <v>-</v>
      </c>
      <c r="EB28" s="140" t="str">
        <f t="shared" si="422"/>
        <v>DUE 8/14/27</v>
      </c>
      <c r="EC28" s="140" t="str">
        <f t="shared" si="422"/>
        <v>-</v>
      </c>
      <c r="ED28" s="140" t="str">
        <f t="shared" si="422"/>
        <v>-</v>
      </c>
      <c r="EE28" s="140" t="str">
        <f t="shared" si="422"/>
        <v>DUE 11/14/27</v>
      </c>
      <c r="EF28" s="140" t="str">
        <f t="shared" si="422"/>
        <v>-</v>
      </c>
      <c r="EG28" s="140" t="str">
        <f t="shared" si="422"/>
        <v>-</v>
      </c>
      <c r="EH28" s="140" t="str">
        <f t="shared" si="422"/>
        <v>DUE 2/14/28</v>
      </c>
      <c r="EI28" s="140" t="str">
        <f t="shared" si="422"/>
        <v>-</v>
      </c>
      <c r="EJ28" s="140" t="str">
        <f t="shared" si="422"/>
        <v>-</v>
      </c>
      <c r="EK28" s="140" t="str">
        <f t="shared" si="422"/>
        <v>DUE 5/15/28</v>
      </c>
      <c r="EL28" s="140" t="str">
        <f t="shared" si="422"/>
        <v>-</v>
      </c>
      <c r="EM28" s="140" t="str">
        <f t="shared" si="422"/>
        <v>-</v>
      </c>
      <c r="EN28" s="140" t="str">
        <f t="shared" si="422"/>
        <v>DUE 8/14/28</v>
      </c>
      <c r="EO28" s="140" t="str">
        <f t="shared" si="422"/>
        <v>-</v>
      </c>
      <c r="EP28" s="140" t="str">
        <f t="shared" si="422"/>
        <v>-</v>
      </c>
      <c r="EQ28" s="140" t="str">
        <f t="shared" si="422"/>
        <v>DUE 11/14/28</v>
      </c>
      <c r="ER28" s="140" t="str">
        <f t="shared" si="422"/>
        <v>-</v>
      </c>
      <c r="ES28" s="140" t="str">
        <f t="shared" si="422"/>
        <v>-</v>
      </c>
      <c r="ET28" s="140" t="str">
        <f t="shared" si="422"/>
        <v>DUE 2/14/29</v>
      </c>
    </row>
    <row r="29" spans="3:150">
      <c r="C29" s="161" t="s">
        <v>166</v>
      </c>
      <c r="D29" s="48" t="s">
        <v>167</v>
      </c>
      <c r="E29" s="160">
        <v>30</v>
      </c>
      <c r="F29" s="137">
        <v>42783</v>
      </c>
      <c r="G29" s="137">
        <v>42858</v>
      </c>
      <c r="H29" s="137">
        <v>42824</v>
      </c>
      <c r="I29" s="137">
        <v>42858</v>
      </c>
      <c r="J29" s="137">
        <v>42909</v>
      </c>
      <c r="K29" s="137">
        <v>42979</v>
      </c>
      <c r="L29" s="137">
        <v>42968</v>
      </c>
      <c r="M29" s="137">
        <v>42979</v>
      </c>
      <c r="N29" s="137">
        <v>43028</v>
      </c>
      <c r="O29" s="137">
        <v>43047</v>
      </c>
      <c r="P29" s="137">
        <v>43083</v>
      </c>
      <c r="Q29" s="137">
        <v>43165</v>
      </c>
      <c r="R29" s="137">
        <v>43165</v>
      </c>
      <c r="S29" s="137">
        <v>43187</v>
      </c>
      <c r="T29" s="137">
        <v>43187</v>
      </c>
      <c r="U29" s="137">
        <v>43231</v>
      </c>
      <c r="V29" s="137">
        <v>43245</v>
      </c>
      <c r="W29" s="137">
        <v>43301</v>
      </c>
      <c r="X29" s="137">
        <v>43305</v>
      </c>
      <c r="Y29" s="137">
        <v>43347</v>
      </c>
      <c r="Z29" s="137">
        <v>43388</v>
      </c>
      <c r="AA29" s="137">
        <v>43424</v>
      </c>
      <c r="AB29" s="137">
        <v>43507</v>
      </c>
      <c r="AC29" s="137">
        <v>43507</v>
      </c>
      <c r="AD29" s="137">
        <v>43507</v>
      </c>
      <c r="AE29" s="137">
        <v>43551</v>
      </c>
      <c r="AF29" s="137">
        <v>43552</v>
      </c>
      <c r="AG29" s="137">
        <v>43579</v>
      </c>
      <c r="AH29" s="137">
        <v>43663</v>
      </c>
      <c r="AI29" s="137">
        <v>43663</v>
      </c>
      <c r="AJ29" s="137">
        <v>43706</v>
      </c>
      <c r="AK29" s="137">
        <v>43706</v>
      </c>
      <c r="AL29" s="137">
        <v>43756</v>
      </c>
      <c r="AM29" s="137">
        <v>43791</v>
      </c>
      <c r="AN29" s="137">
        <v>43795</v>
      </c>
      <c r="AO29" s="137">
        <v>44196</v>
      </c>
      <c r="AP29" s="137">
        <v>43858</v>
      </c>
      <c r="AQ29" s="137">
        <v>43909</v>
      </c>
      <c r="AR29" s="137">
        <v>43910</v>
      </c>
      <c r="AS29" s="137">
        <v>43954</v>
      </c>
      <c r="AT29" s="137">
        <v>44066</v>
      </c>
      <c r="AU29" s="137">
        <v>44067</v>
      </c>
      <c r="AV29" s="137">
        <v>44068</v>
      </c>
      <c r="AW29" s="137">
        <v>44069</v>
      </c>
      <c r="AX29" s="137">
        <v>44151</v>
      </c>
      <c r="AY29" s="137">
        <v>44152</v>
      </c>
      <c r="AZ29" s="137">
        <v>44217</v>
      </c>
      <c r="BA29" s="137" t="s">
        <v>168</v>
      </c>
      <c r="BB29" s="137">
        <v>44245</v>
      </c>
      <c r="BC29" s="137">
        <v>44299</v>
      </c>
      <c r="BD29" s="137">
        <v>44322</v>
      </c>
      <c r="BE29" s="137">
        <v>44322</v>
      </c>
      <c r="BF29" s="137">
        <v>44440</v>
      </c>
      <c r="BG29" s="137">
        <v>44440</v>
      </c>
      <c r="BH29" s="137">
        <v>44440</v>
      </c>
      <c r="BI29" s="137">
        <v>44440</v>
      </c>
      <c r="BJ29" s="137">
        <v>44602</v>
      </c>
      <c r="BK29" s="137">
        <v>44602</v>
      </c>
      <c r="BL29" s="137">
        <v>44602</v>
      </c>
      <c r="BM29" s="137">
        <v>44602</v>
      </c>
      <c r="BN29" s="137">
        <v>44602</v>
      </c>
      <c r="BO29" s="137">
        <v>44656</v>
      </c>
      <c r="BP29" s="137">
        <v>44656</v>
      </c>
      <c r="BQ29" s="549">
        <v>44767</v>
      </c>
      <c r="BR29" s="549">
        <v>44767</v>
      </c>
      <c r="BS29" s="549">
        <v>44768</v>
      </c>
      <c r="BT29" s="137">
        <v>44856</v>
      </c>
      <c r="BU29" s="137">
        <v>44857</v>
      </c>
      <c r="BV29" s="137">
        <v>44858</v>
      </c>
      <c r="BW29" s="137">
        <v>44883</v>
      </c>
      <c r="BX29" s="137">
        <v>44963</v>
      </c>
      <c r="BY29" s="137">
        <v>44964</v>
      </c>
      <c r="BZ29" s="137">
        <v>44965</v>
      </c>
      <c r="CA29" s="137">
        <v>45022</v>
      </c>
      <c r="CB29" s="137">
        <v>45023</v>
      </c>
      <c r="CC29" s="137">
        <v>45098</v>
      </c>
      <c r="CD29" s="137">
        <v>45099</v>
      </c>
      <c r="CE29" s="137">
        <v>45155</v>
      </c>
      <c r="CF29" s="137">
        <v>45156</v>
      </c>
      <c r="CG29" s="137">
        <v>45187</v>
      </c>
      <c r="CH29" s="137">
        <v>45216</v>
      </c>
      <c r="CI29" s="137">
        <v>45233</v>
      </c>
      <c r="CJ29" s="137">
        <v>45275</v>
      </c>
      <c r="CK29" s="137">
        <v>45313</v>
      </c>
      <c r="CL29" s="137">
        <v>45363</v>
      </c>
      <c r="CM29" s="137">
        <v>45364</v>
      </c>
      <c r="CN29" s="137">
        <v>45385</v>
      </c>
      <c r="CO29" s="137">
        <v>45413</v>
      </c>
      <c r="CP29" s="137">
        <v>45454</v>
      </c>
      <c r="CQ29" s="137">
        <v>45515</v>
      </c>
      <c r="CR29" s="137">
        <v>45516</v>
      </c>
      <c r="CS29" s="137">
        <v>45555</v>
      </c>
      <c r="CT29" s="137">
        <v>45608</v>
      </c>
      <c r="CU29" s="137">
        <v>45608</v>
      </c>
      <c r="CV29" s="137">
        <v>45628</v>
      </c>
      <c r="CW29" s="137">
        <v>45681</v>
      </c>
      <c r="CX29" s="137">
        <v>45723</v>
      </c>
      <c r="CY29" s="137">
        <v>45723</v>
      </c>
      <c r="CZ29" s="137">
        <v>45747</v>
      </c>
      <c r="DA29" s="137">
        <v>45782</v>
      </c>
      <c r="DB29" s="137">
        <v>45805</v>
      </c>
      <c r="DC29" s="137">
        <v>45834</v>
      </c>
      <c r="DD29" s="137">
        <v>45881</v>
      </c>
      <c r="DE29" s="137">
        <v>45922</v>
      </c>
      <c r="DF29" s="137">
        <v>45925</v>
      </c>
      <c r="DG29" s="137">
        <v>45953</v>
      </c>
      <c r="DH29" s="137">
        <v>45993</v>
      </c>
      <c r="DI29" s="137">
        <v>46021</v>
      </c>
      <c r="DJ29" s="137">
        <v>46048</v>
      </c>
      <c r="DK29" s="137">
        <v>46084</v>
      </c>
      <c r="DL29" s="137">
        <v>46104</v>
      </c>
      <c r="DM29" s="137">
        <v>46157</v>
      </c>
      <c r="DN29" s="137">
        <v>46163</v>
      </c>
      <c r="DO29" s="140" t="str">
        <f t="shared" si="422"/>
        <v>DUE 6/30/26</v>
      </c>
      <c r="DP29" s="140" t="str">
        <f t="shared" si="422"/>
        <v>DUE 7/30/26</v>
      </c>
      <c r="DQ29" s="140" t="str">
        <f t="shared" si="422"/>
        <v>DUE 8/30/26</v>
      </c>
      <c r="DR29" s="140" t="str">
        <f t="shared" si="422"/>
        <v>DUE 9/30/26</v>
      </c>
      <c r="DS29" s="140" t="str">
        <f t="shared" si="422"/>
        <v>DUE 10/30/26</v>
      </c>
      <c r="DT29" s="140" t="str">
        <f t="shared" si="422"/>
        <v>DUE 11/30/26</v>
      </c>
      <c r="DU29" s="140" t="str">
        <f t="shared" si="422"/>
        <v>DUE 12/30/26</v>
      </c>
      <c r="DV29" s="140" t="str">
        <f t="shared" si="422"/>
        <v>DUE 1/30/27</v>
      </c>
      <c r="DW29" s="140" t="str">
        <f t="shared" si="422"/>
        <v>DUE 3/02/27</v>
      </c>
      <c r="DX29" s="140" t="str">
        <f t="shared" si="422"/>
        <v>DUE 3/30/27</v>
      </c>
      <c r="DY29" s="140" t="str">
        <f t="shared" si="422"/>
        <v>DUE 4/30/27</v>
      </c>
      <c r="DZ29" s="140" t="str">
        <f t="shared" si="422"/>
        <v>DUE 5/30/27</v>
      </c>
      <c r="EA29" s="140" t="str">
        <f t="shared" si="422"/>
        <v>DUE 6/30/27</v>
      </c>
      <c r="EB29" s="140" t="str">
        <f t="shared" si="422"/>
        <v>DUE 7/30/27</v>
      </c>
      <c r="EC29" s="140" t="str">
        <f t="shared" si="422"/>
        <v>DUE 8/30/27</v>
      </c>
      <c r="ED29" s="140" t="str">
        <f t="shared" si="422"/>
        <v>DUE 9/30/27</v>
      </c>
      <c r="EE29" s="140" t="str">
        <f t="shared" si="422"/>
        <v>DUE 10/30/27</v>
      </c>
      <c r="EF29" s="140" t="str">
        <f t="shared" si="422"/>
        <v>DUE 11/30/27</v>
      </c>
      <c r="EG29" s="140" t="str">
        <f t="shared" si="422"/>
        <v>DUE 12/30/27</v>
      </c>
      <c r="EH29" s="140" t="str">
        <f t="shared" si="422"/>
        <v>DUE 1/30/28</v>
      </c>
      <c r="EI29" s="140" t="str">
        <f t="shared" si="422"/>
        <v>DUE 3/01/28</v>
      </c>
      <c r="EJ29" s="140" t="str">
        <f t="shared" si="422"/>
        <v>DUE 3/30/28</v>
      </c>
      <c r="EK29" s="140" t="str">
        <f t="shared" si="422"/>
        <v>DUE 4/30/28</v>
      </c>
      <c r="EL29" s="140" t="str">
        <f t="shared" si="422"/>
        <v>DUE 5/30/28</v>
      </c>
      <c r="EM29" s="140" t="str">
        <f t="shared" si="422"/>
        <v>DUE 6/30/28</v>
      </c>
      <c r="EN29" s="140" t="str">
        <f t="shared" si="422"/>
        <v>DUE 7/30/28</v>
      </c>
      <c r="EO29" s="140" t="str">
        <f t="shared" si="422"/>
        <v>DUE 8/30/28</v>
      </c>
      <c r="EP29" s="140" t="str">
        <f t="shared" si="422"/>
        <v>DUE 9/30/28</v>
      </c>
      <c r="EQ29" s="140" t="str">
        <f t="shared" si="422"/>
        <v>DUE 10/30/28</v>
      </c>
      <c r="ER29" s="140" t="str">
        <f t="shared" si="422"/>
        <v>DUE 11/30/28</v>
      </c>
      <c r="ES29" s="140" t="str">
        <f t="shared" si="422"/>
        <v>DUE 12/30/28</v>
      </c>
      <c r="ET29" s="140" t="str">
        <f t="shared" si="422"/>
        <v>DUE 1/30/29</v>
      </c>
    </row>
    <row r="30" spans="3:150">
      <c r="C30" s="161" t="s">
        <v>169</v>
      </c>
      <c r="D30" s="48" t="s">
        <v>162</v>
      </c>
      <c r="E30" s="160">
        <v>-60</v>
      </c>
      <c r="F30" s="137">
        <v>42719</v>
      </c>
      <c r="G30" s="137"/>
      <c r="H30" s="137"/>
      <c r="I30" s="137"/>
      <c r="J30" s="137"/>
      <c r="K30" s="137"/>
      <c r="L30" s="137"/>
      <c r="M30" s="137"/>
      <c r="N30" s="137"/>
      <c r="O30" s="137"/>
      <c r="P30" s="137"/>
      <c r="Q30" s="137"/>
      <c r="R30" s="137">
        <v>43210</v>
      </c>
      <c r="S30" s="137"/>
      <c r="T30" s="137"/>
      <c r="U30" s="140" t="str">
        <f t="shared" si="420"/>
        <v>-</v>
      </c>
      <c r="V30" s="140" t="str">
        <f t="shared" si="420"/>
        <v>-</v>
      </c>
      <c r="W30" s="140" t="str">
        <f t="shared" si="420"/>
        <v>-</v>
      </c>
      <c r="X30" s="140" t="str">
        <f t="shared" si="420"/>
        <v>-</v>
      </c>
      <c r="Y30" s="140" t="str">
        <f t="shared" si="420"/>
        <v>-</v>
      </c>
      <c r="Z30" s="140" t="str">
        <f t="shared" si="420"/>
        <v>-</v>
      </c>
      <c r="AA30" s="140" t="str">
        <f t="shared" si="420"/>
        <v>-</v>
      </c>
      <c r="AB30" s="140" t="str">
        <f t="shared" si="420"/>
        <v>-</v>
      </c>
      <c r="AC30" s="140" t="str">
        <f t="shared" si="420"/>
        <v>-</v>
      </c>
      <c r="AD30" s="137">
        <v>43550</v>
      </c>
      <c r="AE30" s="140" t="str">
        <f t="shared" si="420"/>
        <v>-</v>
      </c>
      <c r="AF30" s="140" t="str">
        <f t="shared" si="420"/>
        <v>-</v>
      </c>
      <c r="AG30" s="140" t="str">
        <f t="shared" si="420"/>
        <v>-</v>
      </c>
      <c r="AH30" s="140" t="str">
        <f t="shared" si="420"/>
        <v>-</v>
      </c>
      <c r="AI30" s="140" t="str">
        <f t="shared" si="420"/>
        <v>-</v>
      </c>
      <c r="AJ30" s="140" t="str">
        <f t="shared" si="420"/>
        <v>-</v>
      </c>
      <c r="AK30" s="140" t="str">
        <f t="shared" si="420"/>
        <v>-</v>
      </c>
      <c r="AL30" s="140" t="str">
        <f t="shared" si="420"/>
        <v>-</v>
      </c>
      <c r="AM30" s="140" t="str">
        <f t="shared" si="420"/>
        <v>-</v>
      </c>
      <c r="AN30" s="140" t="str">
        <f t="shared" si="420"/>
        <v>-</v>
      </c>
      <c r="AO30" s="140" t="str">
        <f t="shared" si="420"/>
        <v>-</v>
      </c>
      <c r="AP30" s="140">
        <v>43927</v>
      </c>
      <c r="AQ30" s="140" t="str">
        <f t="shared" si="420"/>
        <v>-</v>
      </c>
      <c r="AR30" s="140" t="str">
        <f t="shared" si="420"/>
        <v>-</v>
      </c>
      <c r="AS30" s="140" t="str">
        <f t="shared" si="420"/>
        <v>-</v>
      </c>
      <c r="AT30" s="140" t="str">
        <f t="shared" si="420"/>
        <v>-</v>
      </c>
      <c r="AU30" s="140" t="str">
        <f t="shared" si="420"/>
        <v>-</v>
      </c>
      <c r="AV30" s="140" t="str">
        <f t="shared" si="420"/>
        <v>-</v>
      </c>
      <c r="AW30" s="140" t="str">
        <f t="shared" si="420"/>
        <v>-</v>
      </c>
      <c r="AX30" s="140" t="str">
        <f t="shared" si="420"/>
        <v>-</v>
      </c>
      <c r="AY30" s="140" t="str">
        <f t="shared" si="420"/>
        <v>-</v>
      </c>
      <c r="AZ30" s="140" t="str">
        <f t="shared" si="420"/>
        <v>-</v>
      </c>
      <c r="BA30" s="140" t="str">
        <f t="shared" si="420"/>
        <v>-</v>
      </c>
      <c r="BB30" s="137">
        <v>44280</v>
      </c>
      <c r="BC30" s="140" t="str">
        <f t="shared" si="420"/>
        <v>-</v>
      </c>
      <c r="BD30" s="140" t="str">
        <f t="shared" si="420"/>
        <v>-</v>
      </c>
      <c r="BE30" s="140" t="str">
        <f t="shared" si="420"/>
        <v>-</v>
      </c>
      <c r="BF30" s="140" t="str">
        <f t="shared" si="420"/>
        <v>-</v>
      </c>
      <c r="BG30" s="140" t="str">
        <f t="shared" si="420"/>
        <v>-</v>
      </c>
      <c r="BH30" s="140" t="str">
        <f t="shared" si="420"/>
        <v>-</v>
      </c>
      <c r="BI30" s="140" t="str">
        <f t="shared" si="420"/>
        <v>-</v>
      </c>
      <c r="BJ30" s="140" t="str">
        <f t="shared" si="420"/>
        <v>-</v>
      </c>
      <c r="BK30" s="140" t="str">
        <f t="shared" si="420"/>
        <v>-</v>
      </c>
      <c r="BL30" s="140" t="str">
        <f t="shared" si="420"/>
        <v>-</v>
      </c>
      <c r="BM30" s="140" t="str">
        <f t="shared" si="420"/>
        <v>-</v>
      </c>
      <c r="BN30" s="137">
        <v>44655</v>
      </c>
      <c r="BO30" s="140" t="str">
        <f t="shared" si="420"/>
        <v>-</v>
      </c>
      <c r="BP30" s="140" t="str">
        <f t="shared" si="420"/>
        <v>-</v>
      </c>
      <c r="BQ30" s="140" t="str">
        <f t="shared" si="420"/>
        <v>-</v>
      </c>
      <c r="BR30" s="140" t="str">
        <f t="shared" si="420"/>
        <v>-</v>
      </c>
      <c r="BS30" s="140" t="str">
        <f t="shared" si="420"/>
        <v>-</v>
      </c>
      <c r="BT30" s="140" t="str">
        <f t="shared" si="420"/>
        <v>-</v>
      </c>
      <c r="BU30" s="140" t="str">
        <f t="shared" si="420"/>
        <v>-</v>
      </c>
      <c r="BV30" s="140" t="str">
        <f t="shared" si="420"/>
        <v>-</v>
      </c>
      <c r="BW30" s="140" t="str">
        <f t="shared" si="420"/>
        <v>-</v>
      </c>
      <c r="BX30" s="140" t="str">
        <f t="shared" si="420"/>
        <v>-</v>
      </c>
      <c r="BY30" s="140" t="str">
        <f t="shared" si="420"/>
        <v>-</v>
      </c>
      <c r="BZ30" s="137">
        <v>44965</v>
      </c>
      <c r="CA30" s="140" t="str">
        <f t="shared" si="421"/>
        <v>-</v>
      </c>
      <c r="CB30" s="140" t="str">
        <f t="shared" si="421"/>
        <v>-</v>
      </c>
      <c r="CC30" s="140" t="str">
        <f t="shared" si="421"/>
        <v>-</v>
      </c>
      <c r="CD30" s="140" t="str">
        <f t="shared" si="421"/>
        <v>-</v>
      </c>
      <c r="CE30" s="140" t="str">
        <f t="shared" si="421"/>
        <v>-</v>
      </c>
      <c r="CF30" s="140" t="str">
        <f t="shared" si="421"/>
        <v>-</v>
      </c>
      <c r="CG30" s="140" t="str">
        <f t="shared" si="421"/>
        <v>-</v>
      </c>
      <c r="CH30" s="140" t="str">
        <f t="shared" si="421"/>
        <v>-</v>
      </c>
      <c r="CI30" s="140" t="str">
        <f t="shared" si="421"/>
        <v>-</v>
      </c>
      <c r="CJ30" s="140" t="str">
        <f t="shared" si="421"/>
        <v>-</v>
      </c>
      <c r="CK30" s="140" t="str">
        <f t="shared" si="421"/>
        <v>-</v>
      </c>
      <c r="CL30" s="137">
        <v>45344</v>
      </c>
      <c r="CM30" s="140" t="str">
        <f t="shared" si="421"/>
        <v>-</v>
      </c>
      <c r="CN30" s="140" t="str">
        <f t="shared" si="421"/>
        <v>-</v>
      </c>
      <c r="CO30" s="140" t="str">
        <f t="shared" si="421"/>
        <v>-</v>
      </c>
      <c r="CP30" s="140" t="str">
        <f t="shared" si="421"/>
        <v>-</v>
      </c>
      <c r="CQ30" s="140" t="str">
        <f t="shared" si="421"/>
        <v>-</v>
      </c>
      <c r="CR30" s="140" t="str">
        <f t="shared" si="421"/>
        <v>-</v>
      </c>
      <c r="CS30" s="140" t="str">
        <f t="shared" si="421"/>
        <v>-</v>
      </c>
      <c r="CT30" s="140" t="str">
        <f t="shared" si="421"/>
        <v>-</v>
      </c>
      <c r="CU30" s="140" t="str">
        <f t="shared" si="421"/>
        <v>-</v>
      </c>
      <c r="CV30" s="140" t="str">
        <f t="shared" si="421"/>
        <v>-</v>
      </c>
      <c r="CW30" s="140" t="str">
        <f t="shared" si="421"/>
        <v>-</v>
      </c>
      <c r="CX30" s="137">
        <v>45735</v>
      </c>
      <c r="CY30" s="140" t="str">
        <f t="shared" si="421"/>
        <v>-</v>
      </c>
      <c r="CZ30" s="140" t="str">
        <f t="shared" si="421"/>
        <v>-</v>
      </c>
      <c r="DA30" s="140" t="str">
        <f t="shared" si="421"/>
        <v>-</v>
      </c>
      <c r="DB30" s="140" t="str">
        <f t="shared" si="421"/>
        <v>-</v>
      </c>
      <c r="DC30" s="140" t="str">
        <f t="shared" si="421"/>
        <v>-</v>
      </c>
      <c r="DD30" s="140" t="str">
        <f t="shared" si="421"/>
        <v>-</v>
      </c>
      <c r="DE30" s="140" t="str">
        <f t="shared" si="421"/>
        <v>-</v>
      </c>
      <c r="DF30" s="140" t="str">
        <f t="shared" si="421"/>
        <v>-</v>
      </c>
      <c r="DG30" s="140" t="str">
        <f t="shared" si="421"/>
        <v>-</v>
      </c>
      <c r="DH30" s="140" t="str">
        <f t="shared" si="421"/>
        <v>-</v>
      </c>
      <c r="DI30" s="140" t="str">
        <f t="shared" si="421"/>
        <v>-</v>
      </c>
      <c r="DJ30" s="137">
        <v>46042</v>
      </c>
      <c r="DK30" s="140" t="str">
        <f t="shared" si="421"/>
        <v>-</v>
      </c>
      <c r="DL30" s="140" t="str">
        <f t="shared" si="421"/>
        <v>-</v>
      </c>
      <c r="DM30" s="140" t="str">
        <f t="shared" si="421"/>
        <v>-</v>
      </c>
      <c r="DN30" s="140" t="str">
        <f t="shared" si="422"/>
        <v>-</v>
      </c>
      <c r="DO30" s="140" t="str">
        <f t="shared" si="422"/>
        <v>-</v>
      </c>
      <c r="DP30" s="140" t="str">
        <f t="shared" si="422"/>
        <v>-</v>
      </c>
      <c r="DQ30" s="140" t="str">
        <f t="shared" si="422"/>
        <v>-</v>
      </c>
      <c r="DR30" s="140" t="str">
        <f t="shared" si="422"/>
        <v>-</v>
      </c>
      <c r="DS30" s="140" t="str">
        <f t="shared" si="422"/>
        <v>-</v>
      </c>
      <c r="DT30" s="140" t="str">
        <f t="shared" si="422"/>
        <v>-</v>
      </c>
      <c r="DU30" s="140" t="str">
        <f t="shared" si="422"/>
        <v>-</v>
      </c>
      <c r="DV30" s="140" t="str">
        <f t="shared" si="422"/>
        <v>DUE 11/01/26</v>
      </c>
      <c r="DW30" s="140" t="str">
        <f t="shared" si="422"/>
        <v>-</v>
      </c>
      <c r="DX30" s="140" t="str">
        <f t="shared" si="422"/>
        <v>-</v>
      </c>
      <c r="DY30" s="140" t="str">
        <f t="shared" si="422"/>
        <v>-</v>
      </c>
      <c r="DZ30" s="140" t="str">
        <f t="shared" si="422"/>
        <v>-</v>
      </c>
      <c r="EA30" s="140" t="str">
        <f t="shared" si="422"/>
        <v>-</v>
      </c>
      <c r="EB30" s="140" t="str">
        <f t="shared" si="422"/>
        <v>-</v>
      </c>
      <c r="EC30" s="140" t="str">
        <f t="shared" si="422"/>
        <v>-</v>
      </c>
      <c r="ED30" s="140" t="str">
        <f t="shared" si="422"/>
        <v>-</v>
      </c>
      <c r="EE30" s="140" t="str">
        <f t="shared" si="422"/>
        <v>-</v>
      </c>
      <c r="EF30" s="140" t="str">
        <f t="shared" si="422"/>
        <v>-</v>
      </c>
      <c r="EG30" s="140" t="str">
        <f t="shared" si="422"/>
        <v>-</v>
      </c>
      <c r="EH30" s="140" t="str">
        <f t="shared" si="422"/>
        <v>DUE 11/01/27</v>
      </c>
      <c r="EI30" s="140" t="str">
        <f t="shared" si="422"/>
        <v>-</v>
      </c>
      <c r="EJ30" s="140" t="str">
        <f t="shared" si="422"/>
        <v>-</v>
      </c>
      <c r="EK30" s="140" t="str">
        <f t="shared" si="422"/>
        <v>-</v>
      </c>
      <c r="EL30" s="140" t="str">
        <f t="shared" si="422"/>
        <v>-</v>
      </c>
      <c r="EM30" s="140" t="str">
        <f t="shared" si="422"/>
        <v>-</v>
      </c>
      <c r="EN30" s="140" t="str">
        <f t="shared" si="422"/>
        <v>-</v>
      </c>
      <c r="EO30" s="140" t="str">
        <f t="shared" si="422"/>
        <v>-</v>
      </c>
      <c r="EP30" s="140" t="str">
        <f t="shared" si="422"/>
        <v>-</v>
      </c>
      <c r="EQ30" s="140" t="str">
        <f t="shared" si="422"/>
        <v>-</v>
      </c>
      <c r="ER30" s="140" t="str">
        <f t="shared" si="422"/>
        <v>-</v>
      </c>
      <c r="ES30" s="140" t="str">
        <f t="shared" si="422"/>
        <v>-</v>
      </c>
      <c r="ET30" s="140" t="str">
        <f t="shared" si="422"/>
        <v>DUE 11/01/28</v>
      </c>
    </row>
    <row r="31" spans="3:150">
      <c r="C31" s="161" t="s">
        <v>155</v>
      </c>
      <c r="D31" s="48"/>
      <c r="E31" s="160"/>
      <c r="F31" s="48"/>
      <c r="G31" s="137"/>
      <c r="H31" s="137"/>
      <c r="I31" s="137"/>
      <c r="J31" s="137"/>
      <c r="K31" s="137"/>
      <c r="L31" s="137"/>
      <c r="M31" s="137"/>
      <c r="N31" s="137"/>
      <c r="O31" s="137"/>
      <c r="P31" s="137"/>
      <c r="Q31" s="137"/>
      <c r="R31" s="137"/>
      <c r="S31" s="137"/>
      <c r="T31" s="137"/>
      <c r="U31" s="137"/>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40"/>
      <c r="CZ31" s="140"/>
      <c r="DA31" s="140"/>
      <c r="DB31" s="140"/>
      <c r="DC31" s="140"/>
      <c r="DD31" s="140"/>
      <c r="DE31" s="140"/>
      <c r="DF31" s="140"/>
      <c r="DG31" s="140"/>
      <c r="DH31" s="140"/>
      <c r="DI31" s="140"/>
      <c r="DJ31" s="140"/>
      <c r="DK31" s="140"/>
      <c r="DL31" s="140"/>
      <c r="DM31" s="140"/>
      <c r="DN31" s="140"/>
      <c r="DO31" s="140"/>
      <c r="DP31" s="140"/>
      <c r="DQ31" s="140"/>
      <c r="DR31" s="140"/>
      <c r="DS31" s="140"/>
      <c r="DT31" s="140"/>
      <c r="DU31" s="140"/>
      <c r="DV31" s="140"/>
      <c r="DW31" s="140"/>
      <c r="DX31" s="140"/>
      <c r="DY31" s="140"/>
      <c r="DZ31" s="140"/>
      <c r="EA31" s="140"/>
      <c r="EB31" s="140"/>
      <c r="EC31" s="140"/>
      <c r="ED31" s="140"/>
      <c r="EE31" s="140"/>
      <c r="EF31" s="140"/>
      <c r="EG31" s="140"/>
      <c r="EH31" s="140"/>
      <c r="EI31" s="140"/>
      <c r="EJ31" s="140"/>
      <c r="EK31" s="140"/>
      <c r="EL31" s="140"/>
      <c r="EM31" s="140"/>
      <c r="EN31" s="140"/>
      <c r="EO31" s="140"/>
      <c r="EP31" s="140"/>
      <c r="EQ31" s="140"/>
      <c r="ER31" s="140"/>
      <c r="ES31" s="140"/>
      <c r="ET31" s="140"/>
    </row>
    <row r="32" spans="3:150">
      <c r="C32" s="161" t="s">
        <v>155</v>
      </c>
      <c r="D32" s="48"/>
      <c r="E32" s="160"/>
      <c r="F32" s="48"/>
      <c r="G32" s="137"/>
      <c r="H32" s="137"/>
      <c r="I32" s="137"/>
      <c r="J32" s="137"/>
      <c r="K32" s="137"/>
      <c r="L32" s="137"/>
      <c r="M32" s="137"/>
      <c r="N32" s="137"/>
      <c r="O32" s="137"/>
      <c r="P32" s="137"/>
      <c r="Q32" s="137"/>
      <c r="R32" s="137"/>
      <c r="S32" s="137"/>
      <c r="T32" s="137"/>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c r="CK32" s="140"/>
      <c r="CL32" s="140"/>
      <c r="CM32" s="140"/>
      <c r="CN32" s="140"/>
      <c r="CO32" s="140"/>
      <c r="CP32" s="140"/>
      <c r="CQ32" s="140"/>
      <c r="CR32" s="140"/>
      <c r="CS32" s="140"/>
      <c r="CT32" s="140"/>
      <c r="CU32" s="140"/>
      <c r="CV32" s="140"/>
      <c r="CW32" s="140"/>
      <c r="CX32" s="140"/>
      <c r="CY32" s="140"/>
      <c r="CZ32" s="140"/>
      <c r="DA32" s="140"/>
      <c r="DB32" s="140"/>
      <c r="DC32" s="140"/>
      <c r="DD32" s="140"/>
      <c r="DE32" s="140"/>
      <c r="DF32" s="140"/>
      <c r="DG32" s="140"/>
      <c r="DH32" s="140"/>
      <c r="DI32" s="140"/>
      <c r="DJ32" s="140"/>
      <c r="DK32" s="140"/>
      <c r="DL32" s="140"/>
      <c r="DM32" s="140"/>
      <c r="DN32" s="140"/>
      <c r="DO32" s="140"/>
      <c r="DP32" s="140"/>
      <c r="DQ32" s="140"/>
      <c r="DR32" s="140"/>
      <c r="DS32" s="140"/>
      <c r="DT32" s="140"/>
      <c r="DU32" s="140"/>
      <c r="DV32" s="140"/>
      <c r="DW32" s="140"/>
      <c r="DX32" s="140"/>
      <c r="DY32" s="140"/>
      <c r="DZ32" s="140"/>
      <c r="EA32" s="140"/>
      <c r="EB32" s="140"/>
      <c r="EC32" s="140"/>
      <c r="ED32" s="140"/>
      <c r="EE32" s="140"/>
      <c r="EF32" s="140"/>
      <c r="EG32" s="140"/>
      <c r="EH32" s="140"/>
      <c r="EI32" s="140"/>
      <c r="EJ32" s="140"/>
      <c r="EK32" s="140"/>
      <c r="EL32" s="140"/>
      <c r="EM32" s="140"/>
      <c r="EN32" s="140"/>
      <c r="EO32" s="140"/>
      <c r="EP32" s="140"/>
      <c r="EQ32" s="140"/>
      <c r="ER32" s="140"/>
      <c r="ES32" s="140"/>
      <c r="ET32" s="140"/>
    </row>
    <row r="34" spans="3:150">
      <c r="C34" s="309" t="s">
        <v>170</v>
      </c>
      <c r="D34" s="310" t="s">
        <v>171</v>
      </c>
      <c r="E34" s="310" t="s">
        <v>172</v>
      </c>
      <c r="F34" s="412" t="str">
        <f>IF(AND($D$35="no",$D$36="no",$D$37="no",$D$38="no"),"NA",C43)</f>
        <v>NA</v>
      </c>
      <c r="G34" s="412" t="str">
        <f>IF(AND($D$35="no",$D$36="no",$D$37="no",$D$38="no"),"NA",C44)</f>
        <v>NA</v>
      </c>
      <c r="H34" s="412" t="str">
        <f>IF(AND($D$35="no",$D$36="no",$D$37="no",$D$38="no"),"NA",C45)</f>
        <v>NA</v>
      </c>
      <c r="I34" s="412" t="str">
        <f>IF(AND($D$35="no",$D$36="no",$D$37="no",$D$38="no"),"NA",C46)</f>
        <v>NA</v>
      </c>
      <c r="J34" s="412" t="str">
        <f>IF(AND($D$35="no",$D$36="no",$D$37="no",$D$38="no"),"NA",C47)</f>
        <v>NA</v>
      </c>
      <c r="K34" s="412" t="str">
        <f>IF(AND($D$35="no",$D$36="no",$D$37="no",$D$38="no"),"NA",C48)</f>
        <v>NA</v>
      </c>
      <c r="L34" s="412" t="str">
        <f>IF(AND($D$35="no",$D$36="no",$D$37="no",$D$38="no"),"NA",C49)</f>
        <v>NA</v>
      </c>
    </row>
    <row r="35" spans="3:150">
      <c r="C35" s="82" t="s">
        <v>173</v>
      </c>
      <c r="D35" s="48" t="s">
        <v>12</v>
      </c>
      <c r="E35" s="142" t="s">
        <v>174</v>
      </c>
      <c r="F35" s="83" t="str">
        <f>IF($D$35="No","",_xlfn.IFNA(LOOKUP(MAX($F43:$CA43),$F43:$CA43,$F$42:$CA$42),"n/a"))</f>
        <v/>
      </c>
      <c r="G35" s="83" t="str">
        <f>IF($D$35="No","",_xlfn.IFNA(LOOKUP(MAX($F44:$CA44),$F44:$CA44,$F$42:$CA$42),"n/a"))</f>
        <v/>
      </c>
      <c r="H35" s="83" t="str">
        <f>IF($D$35="No","",_xlfn.IFNA(LOOKUP(MAX($F45:$CA45),$F45:$CA45,$F$42:$CA$42),"n/a"))</f>
        <v/>
      </c>
      <c r="I35" s="83" t="str">
        <f>IF($D$35="No","",_xlfn.IFNA(LOOKUP(MAX($F46:$CA46),$F46:$CA46,$F$42:$CA$42),"n/a"))</f>
        <v/>
      </c>
      <c r="J35" s="83" t="str">
        <f>IF($D$35="No","",_xlfn.IFNA(LOOKUP(MAX($F47:$CA47),$F47:$CA47,$F$42:$CA$42),"n/a"))</f>
        <v/>
      </c>
      <c r="K35" s="83" t="str">
        <f>IF($D$35="No","",_xlfn.IFNA(LOOKUP(MAX($F48:$CA48),$F48:$CA48,$F$42:$CA$42),"n/a"))</f>
        <v/>
      </c>
      <c r="L35" s="83" t="str">
        <f>IF($D$35="No","",_xlfn.IFNA(LOOKUP(MAX($F49:$CA49),$F49:$CA49,$F$42:$CA$42),"n/a"))</f>
        <v/>
      </c>
      <c r="N35" s="4" t="str">
        <f>IF($D$37="No","",_xlfn.IFNA(LOOKUP(MAX($F63:$CA63),$F63:$CA63,$F$62:$CA$62),"n/a"))</f>
        <v/>
      </c>
    </row>
    <row r="36" spans="3:150">
      <c r="C36" s="82" t="s">
        <v>175</v>
      </c>
      <c r="D36" s="48" t="s">
        <v>12</v>
      </c>
      <c r="E36" s="142" t="s">
        <v>174</v>
      </c>
      <c r="F36" s="83" t="str">
        <f>IF($D$36="No","",_xlfn.IFNA(LOOKUP(MAX($F53:$CA53),$F53:$CA53,$F$52:$CA$52),"n/a"))</f>
        <v/>
      </c>
      <c r="G36" s="83" t="str">
        <f>IF($D$36="No","",_xlfn.IFNA(LOOKUP(MAX($F54:$CA54),$F54:$CA54,$F$52:$CA$52),"n/a"))</f>
        <v/>
      </c>
      <c r="H36" s="83" t="str">
        <f>IF($D$36="No","",_xlfn.IFNA(LOOKUP(MAX($F55:$CA55),$F55:$CA55,$F$52:$CA$52),"n/a"))</f>
        <v/>
      </c>
      <c r="I36" s="83" t="str">
        <f>IF($D$36="No","",_xlfn.IFNA(LOOKUP(MAX($F56:$CA56),$F56:$CA56,$F$52:$CA$52),"n/a"))</f>
        <v/>
      </c>
      <c r="J36" s="83" t="str">
        <f>IF($D$36="No","",_xlfn.IFNA(LOOKUP(MAX($F57:$CA57),$F57:$CA57,$F$52:$CA$52),"n/a"))</f>
        <v/>
      </c>
      <c r="K36" s="83" t="str">
        <f>IF($D$36="No","",_xlfn.IFNA(LOOKUP(MAX($F58:$CA58),$F58:$CA58,$F$52:$CA$52),"n/a"))</f>
        <v/>
      </c>
      <c r="L36" s="83" t="str">
        <f>IF($D$36="No","",_xlfn.IFNA(LOOKUP(MAX($F59:$CA59),$F59:$CA59,$F$52:$CA$52),"n/a"))</f>
        <v/>
      </c>
    </row>
    <row r="37" spans="3:150">
      <c r="C37" s="82" t="s">
        <v>176</v>
      </c>
      <c r="D37" s="48" t="s">
        <v>12</v>
      </c>
      <c r="E37" s="142" t="s">
        <v>174</v>
      </c>
      <c r="F37" s="83" t="str">
        <f>IF(D37="No","",_xlfn.IFNA(LOOKUP(MAX($F63:$CA63),$F63:$CA63,$F$62:$CA$62),"n/a"))</f>
        <v/>
      </c>
      <c r="G37" s="83" t="str">
        <f>IF($D$37="No","",_xlfn.IFNA(LOOKUP(MAX($F64:$CA64),$F64:$CA64,$F$62:$CA$62),"n/a"))</f>
        <v/>
      </c>
      <c r="H37" s="83" t="str">
        <f>IF($D$37="No","",_xlfn.IFNA(LOOKUP(MAX($F65:$CA65),$F65:$CA65,$F$62:$CA$62),"n/a"))</f>
        <v/>
      </c>
      <c r="I37" s="83" t="str">
        <f>IF($D$37="No","",_xlfn.IFNA(LOOKUP(MAX($F66:$CA66),$F66:$CA66,$F$62:$CA$62),"n/a"))</f>
        <v/>
      </c>
      <c r="J37" s="83" t="str">
        <f>IF($D$37="No","",_xlfn.IFNA(LOOKUP(MAX($F67:$CA67),$F67:$CA67,$F$62:$CA$62),"n/a"))</f>
        <v/>
      </c>
      <c r="K37" s="83" t="str">
        <f>IF($D$37="No","",_xlfn.IFNA(LOOKUP(MAX($F68:$CA68),$F68:$CA68,$F$62:$CA$62),"n/a"))</f>
        <v/>
      </c>
      <c r="L37" s="83" t="str">
        <f>IF($D$37="No","",_xlfn.IFNA(LOOKUP(MAX($F69:$CA69),$F69:$CA69,$F$62:$CA$62),"n/a"))</f>
        <v/>
      </c>
    </row>
    <row r="38" spans="3:150" ht="13.5" thickBot="1">
      <c r="C38" s="51" t="s">
        <v>177</v>
      </c>
      <c r="D38" s="312" t="s">
        <v>12</v>
      </c>
      <c r="E38" s="313" t="s">
        <v>174</v>
      </c>
      <c r="F38" s="83" t="str">
        <f>IF($D$38="no","",_xlfn.IFNA(LOOKUP(MAX($F73:$CA73),$F73:$CA73,$F$72:$CA$72),"n/a"))</f>
        <v/>
      </c>
      <c r="G38" s="83" t="str">
        <f>IF($D$38="no","",_xlfn.IFNA(LOOKUP(MAX($F74:$CA74),$F74:$CA74,$F$72:$CA$72),"n/a"))</f>
        <v/>
      </c>
      <c r="H38" s="83" t="str">
        <f>IF($D$38="no","",_xlfn.IFNA(LOOKUP(MAX($F75:$CA75),$F75:$CA75,$F$72:$CA$72),"n/a"))</f>
        <v/>
      </c>
      <c r="I38" s="83" t="str">
        <f>IF($D$38="no","",_xlfn.IFNA(LOOKUP(MAX($F76:$CA76),$F76:$CA76,$F$72:$CA$72),"n/a"))</f>
        <v/>
      </c>
      <c r="J38" s="83" t="str">
        <f>IF($D$38="no","",_xlfn.IFNA(LOOKUP(MAX($F77:$CA77),$F77:$CA77,$F$72:$CA$72),"n/a"))</f>
        <v/>
      </c>
      <c r="K38" s="83" t="str">
        <f>IF($D$38="no","",_xlfn.IFNA(LOOKUP(MAX($F78:$CA78),$F78:$CA78,$F$72:$CA$72),"n/a"))</f>
        <v/>
      </c>
      <c r="L38" s="83" t="str">
        <f>IF($D$38="no","",_xlfn.IFNA(LOOKUP(MAX($F79:$CA79),$F79:$CA79,$F$72:$CA$72),"n/a"))</f>
        <v/>
      </c>
    </row>
    <row r="39" spans="3:150" ht="13.5" thickBot="1">
      <c r="C39" s="311" t="s">
        <v>178</v>
      </c>
      <c r="D39" s="311"/>
      <c r="E39" s="311"/>
      <c r="F39" s="314" t="str">
        <f>IF(AND($D$35="no",$D$36="no",$D$37="no",$D$38="no"),"-",IF(F35=F36=F37=F38,F35,MIN(F35:F38)))</f>
        <v>-</v>
      </c>
      <c r="G39" s="314" t="str">
        <f t="shared" ref="G39:L39" si="423">IF(AND($D$35="no",$D$36="no",$D$37="no",$D$38="no"),"-",IF(G35=G36=G37=G38,G35,MIN(G35:G38)))</f>
        <v>-</v>
      </c>
      <c r="H39" s="314" t="str">
        <f t="shared" si="423"/>
        <v>-</v>
      </c>
      <c r="I39" s="314" t="str">
        <f t="shared" si="423"/>
        <v>-</v>
      </c>
      <c r="J39" s="314" t="str">
        <f t="shared" si="423"/>
        <v>-</v>
      </c>
      <c r="K39" s="314" t="str">
        <f t="shared" si="423"/>
        <v>-</v>
      </c>
      <c r="L39" s="314" t="str">
        <f t="shared" si="423"/>
        <v>-</v>
      </c>
    </row>
    <row r="41" spans="3:150">
      <c r="C41" s="442" t="str">
        <f>"Guarantor - "&amp;E35&amp;" Tracking Items"</f>
        <v>Guarantor - n/a Tracking Items</v>
      </c>
      <c r="D41" s="441"/>
      <c r="E41" s="441"/>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1"/>
      <c r="AW41" s="441"/>
      <c r="AX41" s="441"/>
      <c r="AY41" s="441"/>
      <c r="AZ41" s="441"/>
      <c r="BA41" s="441"/>
      <c r="BB41" s="441"/>
      <c r="BC41" s="441"/>
      <c r="BD41" s="441"/>
      <c r="BE41" s="441"/>
      <c r="BF41" s="441"/>
      <c r="BG41" s="441"/>
      <c r="BH41" s="441"/>
      <c r="BI41" s="441"/>
      <c r="BJ41" s="441"/>
      <c r="BK41" s="441"/>
      <c r="BL41" s="441"/>
      <c r="BM41" s="441"/>
      <c r="BN41" s="441"/>
      <c r="BO41" s="441"/>
      <c r="BP41" s="441"/>
      <c r="BQ41" s="441"/>
      <c r="BR41" s="441"/>
      <c r="BS41" s="441"/>
      <c r="BT41" s="441"/>
      <c r="BU41" s="441"/>
      <c r="BV41" s="441"/>
      <c r="BW41" s="441"/>
      <c r="BX41" s="441"/>
      <c r="BY41" s="441"/>
      <c r="BZ41" s="441"/>
      <c r="CA41" s="441"/>
      <c r="CB41" s="441"/>
      <c r="CC41" s="441"/>
      <c r="CD41" s="441"/>
      <c r="CE41" s="441"/>
      <c r="CF41" s="441"/>
      <c r="CG41" s="441"/>
      <c r="CH41" s="441"/>
      <c r="CI41" s="441"/>
      <c r="CJ41" s="441"/>
      <c r="CK41" s="441"/>
      <c r="CL41" s="441"/>
      <c r="CM41" s="441"/>
      <c r="CN41" s="441"/>
      <c r="CO41" s="441"/>
      <c r="CP41" s="441"/>
      <c r="CQ41" s="441"/>
      <c r="CR41" s="441"/>
      <c r="CS41" s="441"/>
      <c r="CT41" s="441"/>
      <c r="CU41" s="441"/>
      <c r="CV41" s="441"/>
      <c r="CW41" s="441"/>
      <c r="CX41" s="441"/>
      <c r="CY41" s="441"/>
      <c r="CZ41" s="441"/>
      <c r="DA41" s="441"/>
      <c r="DB41" s="441"/>
      <c r="DC41" s="441"/>
      <c r="DD41" s="441"/>
      <c r="DE41" s="441"/>
      <c r="DF41" s="441"/>
      <c r="DG41" s="441"/>
      <c r="DH41" s="441"/>
      <c r="DI41" s="441"/>
      <c r="DJ41" s="441"/>
      <c r="DK41" s="441"/>
      <c r="DL41" s="441"/>
      <c r="DM41" s="441"/>
      <c r="DN41" s="441"/>
      <c r="DO41" s="441"/>
      <c r="DP41" s="441"/>
      <c r="DQ41" s="441"/>
      <c r="DR41" s="441"/>
      <c r="DS41" s="441"/>
      <c r="DT41" s="441"/>
      <c r="DU41" s="441"/>
      <c r="DV41" s="441"/>
      <c r="DW41" s="441"/>
      <c r="DX41" s="441"/>
      <c r="DY41" s="441"/>
      <c r="DZ41" s="441"/>
      <c r="EA41" s="441"/>
      <c r="EB41" s="441"/>
      <c r="EC41" s="441"/>
      <c r="ED41" s="441"/>
      <c r="EE41" s="441"/>
      <c r="EF41" s="441"/>
      <c r="EG41" s="441"/>
      <c r="EH41" s="441"/>
      <c r="EI41" s="441"/>
      <c r="EJ41" s="441"/>
      <c r="EK41" s="441"/>
      <c r="EL41" s="441"/>
      <c r="EM41" s="441"/>
      <c r="EN41" s="441"/>
      <c r="EO41" s="441"/>
      <c r="EP41" s="441"/>
      <c r="EQ41" s="441"/>
      <c r="ER41" s="441"/>
      <c r="ES41" s="441"/>
      <c r="ET41" s="441"/>
    </row>
    <row r="42" spans="3:150">
      <c r="C42" s="444" t="s">
        <v>72</v>
      </c>
      <c r="D42" s="443" t="s">
        <v>103</v>
      </c>
      <c r="E42" s="445" t="s">
        <v>104</v>
      </c>
      <c r="F42" s="447">
        <f>$F$8</f>
        <v>42735</v>
      </c>
      <c r="G42" s="447">
        <f>EOMONTH(F42,1)</f>
        <v>42766</v>
      </c>
      <c r="H42" s="448">
        <f t="shared" ref="H42:AC42" si="424">EOMONTH(G42,1)</f>
        <v>42794</v>
      </c>
      <c r="I42" s="449">
        <f t="shared" si="424"/>
        <v>42825</v>
      </c>
      <c r="J42" s="450">
        <f t="shared" si="424"/>
        <v>42855</v>
      </c>
      <c r="K42" s="450">
        <f t="shared" si="424"/>
        <v>42886</v>
      </c>
      <c r="L42" s="450">
        <f t="shared" si="424"/>
        <v>42916</v>
      </c>
      <c r="M42" s="448">
        <f t="shared" si="424"/>
        <v>42947</v>
      </c>
      <c r="N42" s="449">
        <f t="shared" si="424"/>
        <v>42978</v>
      </c>
      <c r="O42" s="450">
        <f t="shared" si="424"/>
        <v>43008</v>
      </c>
      <c r="P42" s="450">
        <f t="shared" si="424"/>
        <v>43039</v>
      </c>
      <c r="Q42" s="450">
        <f t="shared" si="424"/>
        <v>43069</v>
      </c>
      <c r="R42" s="450">
        <f t="shared" si="424"/>
        <v>43100</v>
      </c>
      <c r="S42" s="450">
        <f t="shared" si="424"/>
        <v>43131</v>
      </c>
      <c r="T42" s="448">
        <f t="shared" si="424"/>
        <v>43159</v>
      </c>
      <c r="U42" s="449">
        <f t="shared" si="424"/>
        <v>43190</v>
      </c>
      <c r="V42" s="448">
        <f t="shared" si="424"/>
        <v>43220</v>
      </c>
      <c r="W42" s="449">
        <f t="shared" si="424"/>
        <v>43251</v>
      </c>
      <c r="X42" s="448">
        <f t="shared" si="424"/>
        <v>43281</v>
      </c>
      <c r="Y42" s="448">
        <f t="shared" si="424"/>
        <v>43312</v>
      </c>
      <c r="Z42" s="449">
        <f t="shared" si="424"/>
        <v>43343</v>
      </c>
      <c r="AA42" s="448">
        <f t="shared" si="424"/>
        <v>43373</v>
      </c>
      <c r="AB42" s="449">
        <f t="shared" si="424"/>
        <v>43404</v>
      </c>
      <c r="AC42" s="448">
        <f t="shared" si="424"/>
        <v>43434</v>
      </c>
      <c r="AD42" s="449">
        <f t="shared" ref="AD42" si="425">EOMONTH(AC42,1)</f>
        <v>43465</v>
      </c>
      <c r="AE42" s="448">
        <f>EOMONTH(AD42,1)</f>
        <v>43496</v>
      </c>
      <c r="AF42" s="448">
        <f t="shared" ref="AF42:AP42" si="426">EOMONTH(AE42,1)</f>
        <v>43524</v>
      </c>
      <c r="AG42" s="448">
        <f t="shared" si="426"/>
        <v>43555</v>
      </c>
      <c r="AH42" s="448">
        <f t="shared" si="426"/>
        <v>43585</v>
      </c>
      <c r="AI42" s="448">
        <f t="shared" si="426"/>
        <v>43616</v>
      </c>
      <c r="AJ42" s="448">
        <f t="shared" si="426"/>
        <v>43646</v>
      </c>
      <c r="AK42" s="448">
        <f t="shared" si="426"/>
        <v>43677</v>
      </c>
      <c r="AL42" s="448">
        <f t="shared" si="426"/>
        <v>43708</v>
      </c>
      <c r="AM42" s="448">
        <f t="shared" si="426"/>
        <v>43738</v>
      </c>
      <c r="AN42" s="448">
        <f t="shared" si="426"/>
        <v>43769</v>
      </c>
      <c r="AO42" s="448">
        <f t="shared" si="426"/>
        <v>43799</v>
      </c>
      <c r="AP42" s="448">
        <f t="shared" si="426"/>
        <v>43830</v>
      </c>
      <c r="AQ42" s="448">
        <f t="shared" ref="AQ42" si="427">EOMONTH(AP42,1)</f>
        <v>43861</v>
      </c>
      <c r="AR42" s="448">
        <f t="shared" ref="AR42" si="428">EOMONTH(AQ42,1)</f>
        <v>43890</v>
      </c>
      <c r="AS42" s="448">
        <f t="shared" ref="AS42" si="429">EOMONTH(AR42,1)</f>
        <v>43921</v>
      </c>
      <c r="AT42" s="448">
        <f t="shared" ref="AT42" si="430">EOMONTH(AS42,1)</f>
        <v>43951</v>
      </c>
      <c r="AU42" s="448">
        <f t="shared" ref="AU42" si="431">EOMONTH(AT42,1)</f>
        <v>43982</v>
      </c>
      <c r="AV42" s="448">
        <f t="shared" ref="AV42" si="432">EOMONTH(AU42,1)</f>
        <v>44012</v>
      </c>
      <c r="AW42" s="448">
        <f t="shared" ref="AW42" si="433">EOMONTH(AV42,1)</f>
        <v>44043</v>
      </c>
      <c r="AX42" s="448">
        <f t="shared" ref="AX42" si="434">EOMONTH(AW42,1)</f>
        <v>44074</v>
      </c>
      <c r="AY42" s="448">
        <f t="shared" ref="AY42" si="435">EOMONTH(AX42,1)</f>
        <v>44104</v>
      </c>
      <c r="AZ42" s="448">
        <f t="shared" ref="AZ42" si="436">EOMONTH(AY42,1)</f>
        <v>44135</v>
      </c>
      <c r="BA42" s="448">
        <f t="shared" ref="BA42" si="437">EOMONTH(AZ42,1)</f>
        <v>44165</v>
      </c>
      <c r="BB42" s="448">
        <f t="shared" ref="BB42" si="438">EOMONTH(BA42,1)</f>
        <v>44196</v>
      </c>
      <c r="BC42" s="448">
        <f t="shared" ref="BC42" si="439">EOMONTH(BB42,1)</f>
        <v>44227</v>
      </c>
      <c r="BD42" s="448">
        <f t="shared" ref="BD42" si="440">EOMONTH(BC42,1)</f>
        <v>44255</v>
      </c>
      <c r="BE42" s="448">
        <f t="shared" ref="BE42" si="441">EOMONTH(BD42,1)</f>
        <v>44286</v>
      </c>
      <c r="BF42" s="448">
        <f t="shared" ref="BF42" si="442">EOMONTH(BE42,1)</f>
        <v>44316</v>
      </c>
      <c r="BG42" s="448">
        <f t="shared" ref="BG42" si="443">EOMONTH(BF42,1)</f>
        <v>44347</v>
      </c>
      <c r="BH42" s="448">
        <f t="shared" ref="BH42" si="444">EOMONTH(BG42,1)</f>
        <v>44377</v>
      </c>
      <c r="BI42" s="448">
        <f t="shared" ref="BI42" si="445">EOMONTH(BH42,1)</f>
        <v>44408</v>
      </c>
      <c r="BJ42" s="448">
        <f t="shared" ref="BJ42" si="446">EOMONTH(BI42,1)</f>
        <v>44439</v>
      </c>
      <c r="BK42" s="448">
        <f t="shared" ref="BK42" si="447">EOMONTH(BJ42,1)</f>
        <v>44469</v>
      </c>
      <c r="BL42" s="448">
        <f t="shared" ref="BL42" si="448">EOMONTH(BK42,1)</f>
        <v>44500</v>
      </c>
      <c r="BM42" s="448">
        <f t="shared" ref="BM42" si="449">EOMONTH(BL42,1)</f>
        <v>44530</v>
      </c>
      <c r="BN42" s="448">
        <f t="shared" ref="BN42" si="450">EOMONTH(BM42,1)</f>
        <v>44561</v>
      </c>
      <c r="BO42" s="448">
        <f t="shared" ref="BO42" si="451">EOMONTH(BN42,1)</f>
        <v>44592</v>
      </c>
      <c r="BP42" s="448">
        <f t="shared" ref="BP42" si="452">EOMONTH(BO42,1)</f>
        <v>44620</v>
      </c>
      <c r="BQ42" s="448">
        <f t="shared" ref="BQ42" si="453">EOMONTH(BP42,1)</f>
        <v>44651</v>
      </c>
      <c r="BR42" s="448">
        <f t="shared" ref="BR42" si="454">EOMONTH(BQ42,1)</f>
        <v>44681</v>
      </c>
      <c r="BS42" s="448">
        <f t="shared" ref="BS42" si="455">EOMONTH(BR42,1)</f>
        <v>44712</v>
      </c>
      <c r="BT42" s="448">
        <f t="shared" ref="BT42" si="456">EOMONTH(BS42,1)</f>
        <v>44742</v>
      </c>
      <c r="BU42" s="448">
        <f t="shared" ref="BU42" si="457">EOMONTH(BT42,1)</f>
        <v>44773</v>
      </c>
      <c r="BV42" s="448">
        <f t="shared" ref="BV42" si="458">EOMONTH(BU42,1)</f>
        <v>44804</v>
      </c>
      <c r="BW42" s="448">
        <f t="shared" ref="BW42" si="459">EOMONTH(BV42,1)</f>
        <v>44834</v>
      </c>
      <c r="BX42" s="448">
        <f t="shared" ref="BX42" si="460">EOMONTH(BW42,1)</f>
        <v>44865</v>
      </c>
      <c r="BY42" s="448">
        <f t="shared" ref="BY42" si="461">EOMONTH(BX42,1)</f>
        <v>44895</v>
      </c>
      <c r="BZ42" s="448">
        <f t="shared" ref="BZ42" si="462">EOMONTH(BY42,1)</f>
        <v>44926</v>
      </c>
      <c r="CA42" s="448">
        <f t="shared" ref="CA42" si="463">EOMONTH(BZ42,1)</f>
        <v>44957</v>
      </c>
      <c r="CB42" s="448">
        <f t="shared" ref="CB42" si="464">EOMONTH(CA42,1)</f>
        <v>44985</v>
      </c>
      <c r="CC42" s="448">
        <f t="shared" ref="CC42" si="465">EOMONTH(CB42,1)</f>
        <v>45016</v>
      </c>
      <c r="CD42" s="448">
        <f t="shared" ref="CD42" si="466">EOMONTH(CC42,1)</f>
        <v>45046</v>
      </c>
      <c r="CE42" s="448">
        <f t="shared" ref="CE42" si="467">EOMONTH(CD42,1)</f>
        <v>45077</v>
      </c>
      <c r="CF42" s="448">
        <f t="shared" ref="CF42" si="468">EOMONTH(CE42,1)</f>
        <v>45107</v>
      </c>
      <c r="CG42" s="448">
        <f t="shared" ref="CG42" si="469">EOMONTH(CF42,1)</f>
        <v>45138</v>
      </c>
      <c r="CH42" s="448">
        <f t="shared" ref="CH42" si="470">EOMONTH(CG42,1)</f>
        <v>45169</v>
      </c>
      <c r="CI42" s="448">
        <f t="shared" ref="CI42" si="471">EOMONTH(CH42,1)</f>
        <v>45199</v>
      </c>
      <c r="CJ42" s="448">
        <f t="shared" ref="CJ42" si="472">EOMONTH(CI42,1)</f>
        <v>45230</v>
      </c>
      <c r="CK42" s="448">
        <f t="shared" ref="CK42" si="473">EOMONTH(CJ42,1)</f>
        <v>45260</v>
      </c>
      <c r="CL42" s="448">
        <f t="shared" ref="CL42" si="474">EOMONTH(CK42,1)</f>
        <v>45291</v>
      </c>
      <c r="CM42" s="448">
        <f t="shared" ref="CM42" si="475">EOMONTH(CL42,1)</f>
        <v>45322</v>
      </c>
      <c r="CN42" s="448">
        <f t="shared" ref="CN42" si="476">EOMONTH(CM42,1)</f>
        <v>45351</v>
      </c>
      <c r="CO42" s="448">
        <f t="shared" ref="CO42" si="477">EOMONTH(CN42,1)</f>
        <v>45382</v>
      </c>
      <c r="CP42" s="448">
        <f t="shared" ref="CP42" si="478">EOMONTH(CO42,1)</f>
        <v>45412</v>
      </c>
      <c r="CQ42" s="448">
        <f t="shared" ref="CQ42" si="479">EOMONTH(CP42,1)</f>
        <v>45443</v>
      </c>
      <c r="CR42" s="448">
        <f t="shared" ref="CR42" si="480">EOMONTH(CQ42,1)</f>
        <v>45473</v>
      </c>
      <c r="CS42" s="448">
        <f t="shared" ref="CS42" si="481">EOMONTH(CR42,1)</f>
        <v>45504</v>
      </c>
      <c r="CT42" s="448">
        <f t="shared" ref="CT42" si="482">EOMONTH(CS42,1)</f>
        <v>45535</v>
      </c>
      <c r="CU42" s="448">
        <f t="shared" ref="CU42" si="483">EOMONTH(CT42,1)</f>
        <v>45565</v>
      </c>
      <c r="CV42" s="448">
        <f t="shared" ref="CV42" si="484">EOMONTH(CU42,1)</f>
        <v>45596</v>
      </c>
      <c r="CW42" s="448">
        <f t="shared" ref="CW42" si="485">EOMONTH(CV42,1)</f>
        <v>45626</v>
      </c>
      <c r="CX42" s="448">
        <f t="shared" ref="CX42" si="486">EOMONTH(CW42,1)</f>
        <v>45657</v>
      </c>
      <c r="CY42" s="448">
        <f t="shared" ref="CY42" si="487">EOMONTH(CX42,1)</f>
        <v>45688</v>
      </c>
      <c r="CZ42" s="448">
        <f t="shared" ref="CZ42" si="488">EOMONTH(CY42,1)</f>
        <v>45716</v>
      </c>
      <c r="DA42" s="448">
        <f t="shared" ref="DA42" si="489">EOMONTH(CZ42,1)</f>
        <v>45747</v>
      </c>
      <c r="DB42" s="448">
        <f t="shared" ref="DB42" si="490">EOMONTH(DA42,1)</f>
        <v>45777</v>
      </c>
      <c r="DC42" s="448">
        <f t="shared" ref="DC42" si="491">EOMONTH(DB42,1)</f>
        <v>45808</v>
      </c>
      <c r="DD42" s="448">
        <f t="shared" ref="DD42" si="492">EOMONTH(DC42,1)</f>
        <v>45838</v>
      </c>
      <c r="DE42" s="448">
        <f t="shared" ref="DE42" si="493">EOMONTH(DD42,1)</f>
        <v>45869</v>
      </c>
      <c r="DF42" s="448">
        <f t="shared" ref="DF42" si="494">EOMONTH(DE42,1)</f>
        <v>45900</v>
      </c>
      <c r="DG42" s="448">
        <f t="shared" ref="DG42" si="495">EOMONTH(DF42,1)</f>
        <v>45930</v>
      </c>
      <c r="DH42" s="448">
        <f t="shared" ref="DH42" si="496">EOMONTH(DG42,1)</f>
        <v>45961</v>
      </c>
      <c r="DI42" s="448">
        <f t="shared" ref="DI42" si="497">EOMONTH(DH42,1)</f>
        <v>45991</v>
      </c>
      <c r="DJ42" s="448">
        <f t="shared" ref="DJ42" si="498">EOMONTH(DI42,1)</f>
        <v>46022</v>
      </c>
      <c r="DK42" s="448">
        <f t="shared" ref="DK42" si="499">EOMONTH(DJ42,1)</f>
        <v>46053</v>
      </c>
      <c r="DL42" s="448">
        <f t="shared" ref="DL42" si="500">EOMONTH(DK42,1)</f>
        <v>46081</v>
      </c>
      <c r="DM42" s="448">
        <f t="shared" ref="DM42" si="501">EOMONTH(DL42,1)</f>
        <v>46112</v>
      </c>
      <c r="DN42" s="448">
        <f t="shared" ref="DN42" si="502">EOMONTH(DM42,1)</f>
        <v>46142</v>
      </c>
      <c r="DO42" s="448">
        <f t="shared" ref="DO42" si="503">EOMONTH(DN42,1)</f>
        <v>46173</v>
      </c>
      <c r="DP42" s="448">
        <f t="shared" ref="DP42" si="504">EOMONTH(DO42,1)</f>
        <v>46203</v>
      </c>
      <c r="DQ42" s="448">
        <f t="shared" ref="DQ42" si="505">EOMONTH(DP42,1)</f>
        <v>46234</v>
      </c>
      <c r="DR42" s="448">
        <f t="shared" ref="DR42" si="506">EOMONTH(DQ42,1)</f>
        <v>46265</v>
      </c>
      <c r="DS42" s="448">
        <f t="shared" ref="DS42" si="507">EOMONTH(DR42,1)</f>
        <v>46295</v>
      </c>
      <c r="DT42" s="448">
        <f t="shared" ref="DT42" si="508">EOMONTH(DS42,1)</f>
        <v>46326</v>
      </c>
      <c r="DU42" s="448">
        <f t="shared" ref="DU42" si="509">EOMONTH(DT42,1)</f>
        <v>46356</v>
      </c>
      <c r="DV42" s="448">
        <f t="shared" ref="DV42" si="510">EOMONTH(DU42,1)</f>
        <v>46387</v>
      </c>
      <c r="DW42" s="448">
        <f t="shared" ref="DW42" si="511">EOMONTH(DV42,1)</f>
        <v>46418</v>
      </c>
      <c r="DX42" s="448">
        <f t="shared" ref="DX42" si="512">EOMONTH(DW42,1)</f>
        <v>46446</v>
      </c>
      <c r="DY42" s="448">
        <f t="shared" ref="DY42" si="513">EOMONTH(DX42,1)</f>
        <v>46477</v>
      </c>
      <c r="DZ42" s="448">
        <f t="shared" ref="DZ42" si="514">EOMONTH(DY42,1)</f>
        <v>46507</v>
      </c>
      <c r="EA42" s="448">
        <f t="shared" ref="EA42" si="515">EOMONTH(DZ42,1)</f>
        <v>46538</v>
      </c>
      <c r="EB42" s="448">
        <f t="shared" ref="EB42" si="516">EOMONTH(EA42,1)</f>
        <v>46568</v>
      </c>
      <c r="EC42" s="448">
        <f t="shared" ref="EC42" si="517">EOMONTH(EB42,1)</f>
        <v>46599</v>
      </c>
      <c r="ED42" s="448">
        <f t="shared" ref="ED42" si="518">EOMONTH(EC42,1)</f>
        <v>46630</v>
      </c>
      <c r="EE42" s="448">
        <f t="shared" ref="EE42" si="519">EOMONTH(ED42,1)</f>
        <v>46660</v>
      </c>
      <c r="EF42" s="448">
        <f t="shared" ref="EF42" si="520">EOMONTH(EE42,1)</f>
        <v>46691</v>
      </c>
      <c r="EG42" s="448">
        <f t="shared" ref="EG42" si="521">EOMONTH(EF42,1)</f>
        <v>46721</v>
      </c>
      <c r="EH42" s="448">
        <f t="shared" ref="EH42" si="522">EOMONTH(EG42,1)</f>
        <v>46752</v>
      </c>
      <c r="EI42" s="448">
        <f t="shared" ref="EI42" si="523">EOMONTH(EH42,1)</f>
        <v>46783</v>
      </c>
      <c r="EJ42" s="448">
        <f t="shared" ref="EJ42" si="524">EOMONTH(EI42,1)</f>
        <v>46812</v>
      </c>
      <c r="EK42" s="448">
        <f t="shared" ref="EK42" si="525">EOMONTH(EJ42,1)</f>
        <v>46843</v>
      </c>
      <c r="EL42" s="448">
        <f t="shared" ref="EL42" si="526">EOMONTH(EK42,1)</f>
        <v>46873</v>
      </c>
      <c r="EM42" s="448">
        <f t="shared" ref="EM42" si="527">EOMONTH(EL42,1)</f>
        <v>46904</v>
      </c>
      <c r="EN42" s="448">
        <f t="shared" ref="EN42" si="528">EOMONTH(EM42,1)</f>
        <v>46934</v>
      </c>
      <c r="EO42" s="448">
        <f t="shared" ref="EO42" si="529">EOMONTH(EN42,1)</f>
        <v>46965</v>
      </c>
      <c r="EP42" s="448">
        <f t="shared" ref="EP42" si="530">EOMONTH(EO42,1)</f>
        <v>46996</v>
      </c>
      <c r="EQ42" s="448">
        <f t="shared" ref="EQ42" si="531">EOMONTH(EP42,1)</f>
        <v>47026</v>
      </c>
      <c r="ER42" s="448">
        <f t="shared" ref="ER42" si="532">EOMONTH(EQ42,1)</f>
        <v>47057</v>
      </c>
      <c r="ES42" s="448">
        <f t="shared" ref="ES42" si="533">EOMONTH(ER42,1)</f>
        <v>47087</v>
      </c>
      <c r="ET42" s="448">
        <f t="shared" ref="ET42" si="534">EOMONTH(ES42,1)</f>
        <v>47118</v>
      </c>
    </row>
    <row r="43" spans="3:150">
      <c r="C43" s="142" t="s">
        <v>21</v>
      </c>
      <c r="D43" s="48"/>
      <c r="E43" s="160"/>
      <c r="F43" s="137"/>
      <c r="G43" s="48"/>
      <c r="H43" s="48"/>
      <c r="I43" s="48"/>
      <c r="J43" s="48"/>
      <c r="K43" s="48"/>
      <c r="L43" s="48"/>
      <c r="M43" s="48"/>
      <c r="N43" s="48"/>
      <c r="O43" s="48"/>
      <c r="P43" s="48"/>
      <c r="Q43" s="48"/>
      <c r="R43" s="137"/>
      <c r="S43" s="48"/>
      <c r="T43" s="137"/>
      <c r="U43" s="48"/>
      <c r="V43" s="137"/>
      <c r="W43" s="48"/>
      <c r="X43" s="137"/>
      <c r="Y43" s="48"/>
      <c r="Z43" s="137"/>
      <c r="AA43" s="48"/>
      <c r="AB43" s="137"/>
      <c r="AC43" s="48"/>
      <c r="AD43" s="137"/>
      <c r="AE43" s="48"/>
      <c r="AF43" s="137"/>
      <c r="AG43" s="48"/>
      <c r="AH43" s="137"/>
      <c r="AI43" s="48"/>
      <c r="AJ43" s="137"/>
      <c r="AK43" s="48"/>
      <c r="AL43" s="137"/>
      <c r="AM43" s="48"/>
      <c r="AN43" s="137"/>
      <c r="AO43" s="48"/>
      <c r="AP43" s="137"/>
      <c r="AQ43" s="48"/>
      <c r="AR43" s="137"/>
      <c r="AS43" s="48"/>
      <c r="AT43" s="137"/>
      <c r="AU43" s="48"/>
      <c r="AV43" s="137"/>
      <c r="AW43" s="48"/>
      <c r="AX43" s="137"/>
      <c r="AY43" s="48"/>
      <c r="AZ43" s="137"/>
      <c r="BA43" s="48"/>
      <c r="BB43" s="137"/>
      <c r="BC43" s="48"/>
      <c r="BD43" s="137"/>
      <c r="BE43" s="48"/>
      <c r="BF43" s="137"/>
      <c r="BG43" s="48"/>
      <c r="BH43" s="137"/>
      <c r="BI43" s="48"/>
      <c r="BJ43" s="137"/>
      <c r="BK43" s="48"/>
      <c r="BL43" s="137"/>
      <c r="BM43" s="48"/>
      <c r="BN43" s="137"/>
      <c r="BO43" s="48"/>
      <c r="BP43" s="137"/>
      <c r="BQ43" s="48"/>
      <c r="BR43" s="137"/>
      <c r="BS43" s="48"/>
      <c r="BT43" s="137"/>
      <c r="BU43" s="48"/>
      <c r="BV43" s="137"/>
      <c r="BW43" s="48"/>
      <c r="BX43" s="137"/>
      <c r="BY43" s="48"/>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37"/>
      <c r="DK43" s="137"/>
      <c r="DL43" s="137"/>
      <c r="DM43" s="137"/>
      <c r="DN43" s="137"/>
      <c r="DO43" s="137"/>
      <c r="DP43" s="137"/>
      <c r="DQ43" s="137"/>
      <c r="DR43" s="137"/>
      <c r="DS43" s="137"/>
      <c r="DT43" s="137"/>
      <c r="DU43" s="137"/>
      <c r="DV43" s="137"/>
      <c r="DW43" s="137"/>
      <c r="DX43" s="137"/>
      <c r="DY43" s="137"/>
      <c r="DZ43" s="137"/>
      <c r="EA43" s="137"/>
      <c r="EB43" s="137"/>
      <c r="EC43" s="137"/>
      <c r="ED43" s="137"/>
      <c r="EE43" s="137"/>
      <c r="EF43" s="137"/>
      <c r="EG43" s="137"/>
      <c r="EH43" s="137"/>
      <c r="EI43" s="137"/>
      <c r="EJ43" s="137"/>
      <c r="EK43" s="137"/>
      <c r="EL43" s="137"/>
      <c r="EM43" s="137"/>
      <c r="EN43" s="137"/>
      <c r="EO43" s="137"/>
      <c r="EP43" s="137"/>
      <c r="EQ43" s="137"/>
      <c r="ER43" s="137"/>
      <c r="ES43" s="137"/>
      <c r="ET43" s="137"/>
    </row>
    <row r="44" spans="3:150">
      <c r="C44" s="142" t="s">
        <v>21</v>
      </c>
      <c r="D44" s="48"/>
      <c r="E44" s="160"/>
      <c r="F44" s="137"/>
      <c r="G44" s="48"/>
      <c r="H44" s="48"/>
      <c r="I44" s="138"/>
      <c r="J44" s="48"/>
      <c r="K44" s="48"/>
      <c r="L44" s="138"/>
      <c r="M44" s="48"/>
      <c r="N44" s="48"/>
      <c r="O44" s="138"/>
      <c r="P44" s="48"/>
      <c r="Q44" s="48"/>
      <c r="R44" s="137"/>
      <c r="S44" s="48"/>
      <c r="T44" s="137"/>
      <c r="U44" s="48"/>
      <c r="V44" s="137"/>
      <c r="W44" s="48"/>
      <c r="X44" s="137"/>
      <c r="Y44" s="48"/>
      <c r="Z44" s="137"/>
      <c r="AA44" s="48"/>
      <c r="AB44" s="137"/>
      <c r="AC44" s="48"/>
      <c r="AD44" s="137"/>
      <c r="AE44" s="48"/>
      <c r="AF44" s="137"/>
      <c r="AG44" s="48"/>
      <c r="AH44" s="137"/>
      <c r="AI44" s="48"/>
      <c r="AJ44" s="137"/>
      <c r="AK44" s="48"/>
      <c r="AL44" s="137"/>
      <c r="AM44" s="48"/>
      <c r="AN44" s="137"/>
      <c r="AO44" s="48"/>
      <c r="AP44" s="137"/>
      <c r="AQ44" s="48"/>
      <c r="AR44" s="137"/>
      <c r="AS44" s="48"/>
      <c r="AT44" s="137"/>
      <c r="AU44" s="48"/>
      <c r="AV44" s="137"/>
      <c r="AW44" s="48"/>
      <c r="AX44" s="137"/>
      <c r="AY44" s="48"/>
      <c r="AZ44" s="137"/>
      <c r="BA44" s="48"/>
      <c r="BB44" s="137"/>
      <c r="BC44" s="48"/>
      <c r="BD44" s="137"/>
      <c r="BE44" s="48"/>
      <c r="BF44" s="137"/>
      <c r="BG44" s="48"/>
      <c r="BH44" s="137"/>
      <c r="BI44" s="48"/>
      <c r="BJ44" s="137"/>
      <c r="BK44" s="48"/>
      <c r="BL44" s="137"/>
      <c r="BM44" s="48"/>
      <c r="BN44" s="137"/>
      <c r="BO44" s="48"/>
      <c r="BP44" s="137"/>
      <c r="BQ44" s="48"/>
      <c r="BR44" s="137"/>
      <c r="BS44" s="48"/>
      <c r="BT44" s="137"/>
      <c r="BU44" s="48"/>
      <c r="BV44" s="137"/>
      <c r="BW44" s="48"/>
      <c r="BX44" s="137"/>
      <c r="BY44" s="48"/>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c r="DY44" s="137"/>
      <c r="DZ44" s="137"/>
      <c r="EA44" s="137"/>
      <c r="EB44" s="137"/>
      <c r="EC44" s="137"/>
      <c r="ED44" s="137"/>
      <c r="EE44" s="137"/>
      <c r="EF44" s="137"/>
      <c r="EG44" s="137"/>
      <c r="EH44" s="137"/>
      <c r="EI44" s="137"/>
      <c r="EJ44" s="137"/>
      <c r="EK44" s="137"/>
      <c r="EL44" s="137"/>
      <c r="EM44" s="137"/>
      <c r="EN44" s="137"/>
      <c r="EO44" s="137"/>
      <c r="EP44" s="137"/>
      <c r="EQ44" s="137"/>
      <c r="ER44" s="137"/>
      <c r="ES44" s="137"/>
      <c r="ET44" s="137"/>
    </row>
    <row r="45" spans="3:150">
      <c r="C45" s="142" t="s">
        <v>21</v>
      </c>
      <c r="D45" s="48"/>
      <c r="E45" s="160"/>
      <c r="F45" s="137"/>
      <c r="G45" s="48"/>
      <c r="H45" s="48"/>
      <c r="I45" s="138"/>
      <c r="J45" s="48"/>
      <c r="K45" s="48"/>
      <c r="L45" s="138"/>
      <c r="M45" s="138"/>
      <c r="N45" s="138"/>
      <c r="O45" s="138"/>
      <c r="P45" s="48"/>
      <c r="Q45" s="48"/>
      <c r="R45" s="137"/>
      <c r="S45" s="48"/>
      <c r="T45" s="137"/>
      <c r="U45" s="48"/>
      <c r="V45" s="137"/>
      <c r="W45" s="48"/>
      <c r="X45" s="137"/>
      <c r="Y45" s="48"/>
      <c r="Z45" s="137"/>
      <c r="AA45" s="48"/>
      <c r="AB45" s="137"/>
      <c r="AC45" s="48"/>
      <c r="AD45" s="137"/>
      <c r="AE45" s="48"/>
      <c r="AF45" s="137"/>
      <c r="AG45" s="48"/>
      <c r="AH45" s="137"/>
      <c r="AI45" s="48"/>
      <c r="AJ45" s="137"/>
      <c r="AK45" s="48"/>
      <c r="AL45" s="137"/>
      <c r="AM45" s="48"/>
      <c r="AN45" s="137"/>
      <c r="AO45" s="48"/>
      <c r="AP45" s="137"/>
      <c r="AQ45" s="48"/>
      <c r="AR45" s="137"/>
      <c r="AS45" s="48"/>
      <c r="AT45" s="137"/>
      <c r="AU45" s="48"/>
      <c r="AV45" s="137"/>
      <c r="AW45" s="48"/>
      <c r="AX45" s="137"/>
      <c r="AY45" s="48"/>
      <c r="AZ45" s="137"/>
      <c r="BA45" s="48"/>
      <c r="BB45" s="137"/>
      <c r="BC45" s="48"/>
      <c r="BD45" s="137"/>
      <c r="BE45" s="48"/>
      <c r="BF45" s="137"/>
      <c r="BG45" s="48"/>
      <c r="BH45" s="137"/>
      <c r="BI45" s="48"/>
      <c r="BJ45" s="137"/>
      <c r="BK45" s="48"/>
      <c r="BL45" s="137"/>
      <c r="BM45" s="48"/>
      <c r="BN45" s="137"/>
      <c r="BO45" s="48"/>
      <c r="BP45" s="137"/>
      <c r="BQ45" s="48"/>
      <c r="BR45" s="137"/>
      <c r="BS45" s="48"/>
      <c r="BT45" s="137"/>
      <c r="BU45" s="48"/>
      <c r="BV45" s="137"/>
      <c r="BW45" s="48"/>
      <c r="BX45" s="137"/>
      <c r="BY45" s="48"/>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c r="DP45" s="137"/>
      <c r="DQ45" s="137"/>
      <c r="DR45" s="137"/>
      <c r="DS45" s="137"/>
      <c r="DT45" s="137"/>
      <c r="DU45" s="137"/>
      <c r="DV45" s="137"/>
      <c r="DW45" s="137"/>
      <c r="DX45" s="137"/>
      <c r="DY45" s="137"/>
      <c r="DZ45" s="137"/>
      <c r="EA45" s="137"/>
      <c r="EB45" s="137"/>
      <c r="EC45" s="137"/>
      <c r="ED45" s="137"/>
      <c r="EE45" s="137"/>
      <c r="EF45" s="137"/>
      <c r="EG45" s="137"/>
      <c r="EH45" s="137"/>
      <c r="EI45" s="137"/>
      <c r="EJ45" s="137"/>
      <c r="EK45" s="137"/>
      <c r="EL45" s="137"/>
      <c r="EM45" s="137"/>
      <c r="EN45" s="137"/>
      <c r="EO45" s="137"/>
      <c r="EP45" s="137"/>
      <c r="EQ45" s="137"/>
      <c r="ER45" s="137"/>
      <c r="ES45" s="137"/>
      <c r="ET45" s="137"/>
    </row>
    <row r="46" spans="3:150">
      <c r="C46" s="142" t="s">
        <v>21</v>
      </c>
      <c r="D46" s="48"/>
      <c r="E46" s="160"/>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c r="DJ46" s="137"/>
      <c r="DK46" s="137"/>
      <c r="DL46" s="137"/>
      <c r="DM46" s="137"/>
      <c r="DN46" s="137"/>
      <c r="DO46" s="137"/>
      <c r="DP46" s="137"/>
      <c r="DQ46" s="137"/>
      <c r="DR46" s="137"/>
      <c r="DS46" s="137"/>
      <c r="DT46" s="137"/>
      <c r="DU46" s="137"/>
      <c r="DV46" s="137"/>
      <c r="DW46" s="137"/>
      <c r="DX46" s="137"/>
      <c r="DY46" s="137"/>
      <c r="DZ46" s="137"/>
      <c r="EA46" s="137"/>
      <c r="EB46" s="137"/>
      <c r="EC46" s="137"/>
      <c r="ED46" s="137"/>
      <c r="EE46" s="137"/>
      <c r="EF46" s="137"/>
      <c r="EG46" s="137"/>
      <c r="EH46" s="137"/>
      <c r="EI46" s="137"/>
      <c r="EJ46" s="137"/>
      <c r="EK46" s="137"/>
      <c r="EL46" s="137"/>
      <c r="EM46" s="137"/>
      <c r="EN46" s="137"/>
      <c r="EO46" s="137"/>
      <c r="EP46" s="137"/>
      <c r="EQ46" s="137"/>
      <c r="ER46" s="137"/>
      <c r="ES46" s="137"/>
      <c r="ET46" s="137"/>
    </row>
    <row r="47" spans="3:150">
      <c r="C47" s="142" t="s">
        <v>21</v>
      </c>
      <c r="D47" s="48"/>
      <c r="E47" s="160"/>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c r="DJ47" s="137"/>
      <c r="DK47" s="137"/>
      <c r="DL47" s="137"/>
      <c r="DM47" s="137"/>
      <c r="DN47" s="137"/>
      <c r="DO47" s="137"/>
      <c r="DP47" s="137"/>
      <c r="DQ47" s="137"/>
      <c r="DR47" s="137"/>
      <c r="DS47" s="137"/>
      <c r="DT47" s="137"/>
      <c r="DU47" s="137"/>
      <c r="DV47" s="137"/>
      <c r="DW47" s="137"/>
      <c r="DX47" s="137"/>
      <c r="DY47" s="137"/>
      <c r="DZ47" s="137"/>
      <c r="EA47" s="137"/>
      <c r="EB47" s="137"/>
      <c r="EC47" s="137"/>
      <c r="ED47" s="137"/>
      <c r="EE47" s="137"/>
      <c r="EF47" s="137"/>
      <c r="EG47" s="137"/>
      <c r="EH47" s="137"/>
      <c r="EI47" s="137"/>
      <c r="EJ47" s="137"/>
      <c r="EK47" s="137"/>
      <c r="EL47" s="137"/>
      <c r="EM47" s="137"/>
      <c r="EN47" s="137"/>
      <c r="EO47" s="137"/>
      <c r="EP47" s="137"/>
      <c r="EQ47" s="137"/>
      <c r="ER47" s="137"/>
      <c r="ES47" s="137"/>
      <c r="ET47" s="137"/>
    </row>
    <row r="48" spans="3:150">
      <c r="C48" s="142" t="s">
        <v>21</v>
      </c>
      <c r="D48" s="48"/>
      <c r="E48" s="160"/>
      <c r="F48" s="48"/>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T48" s="137"/>
      <c r="DU48" s="137"/>
      <c r="DV48" s="137"/>
      <c r="DW48" s="137"/>
      <c r="DX48" s="137"/>
      <c r="DY48" s="137"/>
      <c r="DZ48" s="137"/>
      <c r="EA48" s="137"/>
      <c r="EB48" s="137"/>
      <c r="EC48" s="137"/>
      <c r="ED48" s="137"/>
      <c r="EE48" s="137"/>
      <c r="EF48" s="137"/>
      <c r="EG48" s="137"/>
      <c r="EH48" s="137"/>
      <c r="EI48" s="137"/>
      <c r="EJ48" s="137"/>
      <c r="EK48" s="137"/>
      <c r="EL48" s="137"/>
      <c r="EM48" s="137"/>
      <c r="EN48" s="137"/>
      <c r="EO48" s="137"/>
      <c r="EP48" s="137"/>
      <c r="EQ48" s="137"/>
      <c r="ER48" s="137"/>
      <c r="ES48" s="137"/>
      <c r="ET48" s="137"/>
    </row>
    <row r="49" spans="3:150">
      <c r="C49" s="142" t="s">
        <v>21</v>
      </c>
      <c r="D49" s="48"/>
      <c r="E49" s="160"/>
      <c r="F49" s="142"/>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7"/>
      <c r="ED49" s="137"/>
      <c r="EE49" s="137"/>
      <c r="EF49" s="137"/>
      <c r="EG49" s="137"/>
      <c r="EH49" s="137"/>
      <c r="EI49" s="137"/>
      <c r="EJ49" s="137"/>
      <c r="EK49" s="137"/>
      <c r="EL49" s="137"/>
      <c r="EM49" s="137"/>
      <c r="EN49" s="137"/>
      <c r="EO49" s="137"/>
      <c r="EP49" s="137"/>
      <c r="EQ49" s="137"/>
      <c r="ER49" s="137"/>
      <c r="ES49" s="137"/>
      <c r="ET49" s="137"/>
    </row>
    <row r="50" spans="3:150" outlineLevel="1">
      <c r="C50" s="289"/>
      <c r="D50" s="290"/>
      <c r="E50" s="291"/>
      <c r="F50" s="292"/>
      <c r="G50" s="275"/>
      <c r="H50" s="275"/>
      <c r="I50" s="275"/>
      <c r="J50" s="275"/>
      <c r="K50" s="275"/>
      <c r="L50" s="275"/>
      <c r="M50" s="275"/>
      <c r="N50" s="275"/>
      <c r="O50" s="275"/>
      <c r="P50" s="275"/>
      <c r="Q50" s="275"/>
      <c r="R50" s="275"/>
      <c r="S50" s="275"/>
      <c r="T50" s="293"/>
      <c r="U50" s="293"/>
      <c r="V50" s="293"/>
      <c r="W50" s="293"/>
      <c r="X50" s="293"/>
      <c r="Y50" s="293"/>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c r="AW50" s="293"/>
      <c r="AX50" s="293"/>
      <c r="AY50" s="293"/>
      <c r="AZ50" s="293"/>
      <c r="BA50" s="293"/>
      <c r="BB50" s="293"/>
      <c r="BC50" s="293"/>
      <c r="BD50" s="293"/>
      <c r="BE50" s="293"/>
      <c r="BF50" s="293"/>
      <c r="BG50" s="293"/>
      <c r="BH50" s="293"/>
      <c r="BI50" s="293"/>
      <c r="BJ50" s="293"/>
      <c r="BK50" s="293"/>
      <c r="BL50" s="293"/>
      <c r="BM50" s="293"/>
      <c r="BN50" s="293"/>
      <c r="BO50" s="293"/>
      <c r="BP50" s="293"/>
      <c r="BQ50" s="293"/>
      <c r="BR50" s="293"/>
      <c r="BS50" s="293"/>
      <c r="BT50" s="293"/>
      <c r="BU50" s="293"/>
      <c r="BV50" s="293"/>
      <c r="BW50" s="293"/>
      <c r="BX50" s="293"/>
      <c r="BY50" s="293"/>
      <c r="BZ50" s="293"/>
      <c r="CA50" s="293"/>
      <c r="CB50" s="293"/>
      <c r="CC50" s="293"/>
      <c r="CD50" s="293"/>
      <c r="CE50" s="293"/>
      <c r="CF50" s="293"/>
      <c r="CG50" s="293"/>
      <c r="CH50" s="293"/>
      <c r="CI50" s="293"/>
      <c r="CJ50" s="293"/>
      <c r="CK50" s="293"/>
      <c r="CL50" s="293"/>
      <c r="CM50" s="293"/>
      <c r="CN50" s="293"/>
      <c r="CO50" s="293"/>
      <c r="CP50" s="293"/>
      <c r="CQ50" s="293"/>
      <c r="CR50" s="293"/>
      <c r="CS50" s="293"/>
      <c r="CT50" s="293"/>
      <c r="CU50" s="293"/>
      <c r="CV50" s="293"/>
      <c r="CW50" s="293"/>
      <c r="CX50" s="293"/>
      <c r="CY50" s="293"/>
      <c r="CZ50" s="293"/>
      <c r="DA50" s="293"/>
      <c r="DB50" s="293"/>
      <c r="DC50" s="293"/>
      <c r="DD50" s="293"/>
      <c r="DE50" s="293"/>
      <c r="DF50" s="293"/>
      <c r="DG50" s="293"/>
      <c r="DH50" s="293"/>
      <c r="DI50" s="293"/>
      <c r="DJ50" s="293"/>
      <c r="DK50" s="293"/>
      <c r="DL50" s="293"/>
      <c r="DM50" s="293"/>
      <c r="DN50" s="293"/>
      <c r="DO50" s="293"/>
      <c r="DP50" s="293"/>
      <c r="DQ50" s="293"/>
      <c r="DR50" s="293"/>
      <c r="DS50" s="293"/>
      <c r="DT50" s="293"/>
      <c r="DU50" s="293"/>
      <c r="DV50" s="293"/>
      <c r="DW50" s="293"/>
      <c r="DX50" s="293"/>
      <c r="DY50" s="293"/>
      <c r="DZ50" s="293"/>
      <c r="EA50" s="293"/>
      <c r="EB50" s="293"/>
      <c r="EC50" s="293"/>
      <c r="ED50" s="293"/>
      <c r="EE50" s="293"/>
      <c r="EF50" s="293"/>
      <c r="EG50" s="293"/>
      <c r="EH50" s="293"/>
      <c r="EI50" s="293"/>
      <c r="EJ50" s="293"/>
      <c r="EK50" s="293"/>
      <c r="EL50" s="293"/>
      <c r="EM50" s="293"/>
      <c r="EN50" s="293"/>
      <c r="EO50" s="293"/>
      <c r="EP50" s="293"/>
      <c r="EQ50" s="293"/>
      <c r="ER50" s="293"/>
      <c r="ES50" s="293"/>
      <c r="ET50" s="293"/>
    </row>
    <row r="51" spans="3:150" outlineLevel="1">
      <c r="C51" s="442" t="str">
        <f>"Guarantor - "&amp;E36&amp;" Tracking Items"</f>
        <v>Guarantor - n/a Tracking Items</v>
      </c>
      <c r="D51" s="441"/>
      <c r="E51" s="441"/>
      <c r="F51" s="441"/>
      <c r="G51" s="441"/>
      <c r="H51" s="441"/>
      <c r="I51" s="441"/>
      <c r="J51" s="441"/>
      <c r="K51" s="441"/>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1"/>
      <c r="AI51" s="441"/>
      <c r="AJ51" s="441"/>
      <c r="AK51" s="441"/>
      <c r="AL51" s="441"/>
      <c r="AM51" s="441"/>
      <c r="AN51" s="441"/>
      <c r="AO51" s="441"/>
      <c r="AP51" s="441"/>
      <c r="AQ51" s="441"/>
      <c r="AR51" s="441"/>
      <c r="AS51" s="441"/>
      <c r="AT51" s="441"/>
      <c r="AU51" s="441"/>
      <c r="AV51" s="441"/>
      <c r="AW51" s="441"/>
      <c r="AX51" s="441"/>
      <c r="AY51" s="441"/>
      <c r="AZ51" s="441"/>
      <c r="BA51" s="441"/>
      <c r="BB51" s="441"/>
      <c r="BC51" s="441"/>
      <c r="BD51" s="441"/>
      <c r="BE51" s="441"/>
      <c r="BF51" s="441"/>
      <c r="BG51" s="441"/>
      <c r="BH51" s="441"/>
      <c r="BI51" s="441"/>
      <c r="BJ51" s="441"/>
      <c r="BK51" s="441"/>
      <c r="BL51" s="441"/>
      <c r="BM51" s="441"/>
      <c r="BN51" s="441"/>
      <c r="BO51" s="441"/>
      <c r="BP51" s="441"/>
      <c r="BQ51" s="441"/>
      <c r="BR51" s="441"/>
      <c r="BS51" s="441"/>
      <c r="BT51" s="441"/>
      <c r="BU51" s="441"/>
      <c r="BV51" s="441"/>
      <c r="BW51" s="441"/>
      <c r="BX51" s="441"/>
      <c r="BY51" s="441"/>
      <c r="BZ51" s="441"/>
      <c r="CA51" s="441"/>
      <c r="CB51" s="441"/>
      <c r="CC51" s="441"/>
      <c r="CD51" s="441"/>
      <c r="CE51" s="441"/>
      <c r="CF51" s="441"/>
      <c r="CG51" s="441"/>
      <c r="CH51" s="441"/>
      <c r="CI51" s="441"/>
      <c r="CJ51" s="441"/>
      <c r="CK51" s="441"/>
      <c r="CL51" s="441"/>
      <c r="CM51" s="441"/>
      <c r="CN51" s="441"/>
      <c r="CO51" s="441"/>
      <c r="CP51" s="441"/>
      <c r="CQ51" s="441"/>
      <c r="CR51" s="441"/>
      <c r="CS51" s="441"/>
      <c r="CT51" s="441"/>
      <c r="CU51" s="441"/>
      <c r="CV51" s="441"/>
      <c r="CW51" s="441"/>
      <c r="CX51" s="441"/>
      <c r="CY51" s="441"/>
      <c r="CZ51" s="441"/>
      <c r="DA51" s="441"/>
      <c r="DB51" s="441"/>
      <c r="DC51" s="441"/>
      <c r="DD51" s="441"/>
      <c r="DE51" s="441"/>
      <c r="DF51" s="441"/>
      <c r="DG51" s="441"/>
      <c r="DH51" s="441"/>
      <c r="DI51" s="441"/>
      <c r="DJ51" s="441"/>
      <c r="DK51" s="441"/>
      <c r="DL51" s="441"/>
      <c r="DM51" s="441"/>
      <c r="DN51" s="441"/>
      <c r="DO51" s="441"/>
      <c r="DP51" s="441"/>
      <c r="DQ51" s="441"/>
      <c r="DR51" s="441"/>
      <c r="DS51" s="441"/>
      <c r="DT51" s="441"/>
      <c r="DU51" s="441"/>
      <c r="DV51" s="441"/>
      <c r="DW51" s="441"/>
      <c r="DX51" s="441"/>
      <c r="DY51" s="441"/>
      <c r="DZ51" s="441"/>
      <c r="EA51" s="441"/>
      <c r="EB51" s="441"/>
      <c r="EC51" s="441"/>
      <c r="ED51" s="441"/>
      <c r="EE51" s="441"/>
      <c r="EF51" s="441"/>
      <c r="EG51" s="441"/>
      <c r="EH51" s="441"/>
      <c r="EI51" s="441"/>
      <c r="EJ51" s="441"/>
      <c r="EK51" s="441"/>
      <c r="EL51" s="441"/>
      <c r="EM51" s="441"/>
      <c r="EN51" s="441"/>
      <c r="EO51" s="441"/>
      <c r="EP51" s="441"/>
      <c r="EQ51" s="441"/>
      <c r="ER51" s="441"/>
      <c r="ES51" s="441"/>
      <c r="ET51" s="441"/>
    </row>
    <row r="52" spans="3:150" outlineLevel="1">
      <c r="C52" s="444" t="s">
        <v>72</v>
      </c>
      <c r="D52" s="443" t="s">
        <v>103</v>
      </c>
      <c r="E52" s="445" t="s">
        <v>104</v>
      </c>
      <c r="F52" s="447">
        <f>$F$8</f>
        <v>42735</v>
      </c>
      <c r="G52" s="447">
        <f>EOMONTH(F52,1)</f>
        <v>42766</v>
      </c>
      <c r="H52" s="448">
        <f t="shared" ref="H52" si="535">EOMONTH(G52,1)</f>
        <v>42794</v>
      </c>
      <c r="I52" s="449">
        <f t="shared" ref="I52" si="536">EOMONTH(H52,1)</f>
        <v>42825</v>
      </c>
      <c r="J52" s="450">
        <f t="shared" ref="J52" si="537">EOMONTH(I52,1)</f>
        <v>42855</v>
      </c>
      <c r="K52" s="450">
        <f t="shared" ref="K52" si="538">EOMONTH(J52,1)</f>
        <v>42886</v>
      </c>
      <c r="L52" s="450">
        <f t="shared" ref="L52" si="539">EOMONTH(K52,1)</f>
        <v>42916</v>
      </c>
      <c r="M52" s="448">
        <f t="shared" ref="M52" si="540">EOMONTH(L52,1)</f>
        <v>42947</v>
      </c>
      <c r="N52" s="449">
        <f t="shared" ref="N52" si="541">EOMONTH(M52,1)</f>
        <v>42978</v>
      </c>
      <c r="O52" s="450">
        <f t="shared" ref="O52" si="542">EOMONTH(N52,1)</f>
        <v>43008</v>
      </c>
      <c r="P52" s="450">
        <f t="shared" ref="P52" si="543">EOMONTH(O52,1)</f>
        <v>43039</v>
      </c>
      <c r="Q52" s="450">
        <f t="shared" ref="Q52" si="544">EOMONTH(P52,1)</f>
        <v>43069</v>
      </c>
      <c r="R52" s="450">
        <f t="shared" ref="R52" si="545">EOMONTH(Q52,1)</f>
        <v>43100</v>
      </c>
      <c r="S52" s="450">
        <f t="shared" ref="S52" si="546">EOMONTH(R52,1)</f>
        <v>43131</v>
      </c>
      <c r="T52" s="448">
        <f t="shared" ref="T52" si="547">EOMONTH(S52,1)</f>
        <v>43159</v>
      </c>
      <c r="U52" s="449">
        <f t="shared" ref="U52" si="548">EOMONTH(T52,1)</f>
        <v>43190</v>
      </c>
      <c r="V52" s="448">
        <f t="shared" ref="V52" si="549">EOMONTH(U52,1)</f>
        <v>43220</v>
      </c>
      <c r="W52" s="449">
        <f t="shared" ref="W52" si="550">EOMONTH(V52,1)</f>
        <v>43251</v>
      </c>
      <c r="X52" s="448">
        <f t="shared" ref="X52" si="551">EOMONTH(W52,1)</f>
        <v>43281</v>
      </c>
      <c r="Y52" s="448">
        <f t="shared" ref="Y52" si="552">EOMONTH(X52,1)</f>
        <v>43312</v>
      </c>
      <c r="Z52" s="449">
        <f t="shared" ref="Z52" si="553">EOMONTH(Y52,1)</f>
        <v>43343</v>
      </c>
      <c r="AA52" s="448">
        <f t="shared" ref="AA52" si="554">EOMONTH(Z52,1)</f>
        <v>43373</v>
      </c>
      <c r="AB52" s="449">
        <f t="shared" ref="AB52" si="555">EOMONTH(AA52,1)</f>
        <v>43404</v>
      </c>
      <c r="AC52" s="448">
        <f t="shared" ref="AC52" si="556">EOMONTH(AB52,1)</f>
        <v>43434</v>
      </c>
      <c r="AD52" s="449">
        <f t="shared" ref="AD52" si="557">EOMONTH(AC52,1)</f>
        <v>43465</v>
      </c>
      <c r="AE52" s="448">
        <f>EOMONTH(AD52,1)</f>
        <v>43496</v>
      </c>
      <c r="AF52" s="448">
        <f t="shared" ref="AF52:AP52" si="558">EOMONTH(AE52,1)</f>
        <v>43524</v>
      </c>
      <c r="AG52" s="448">
        <f t="shared" si="558"/>
        <v>43555</v>
      </c>
      <c r="AH52" s="448">
        <f t="shared" si="558"/>
        <v>43585</v>
      </c>
      <c r="AI52" s="448">
        <f t="shared" si="558"/>
        <v>43616</v>
      </c>
      <c r="AJ52" s="448">
        <f t="shared" si="558"/>
        <v>43646</v>
      </c>
      <c r="AK52" s="448">
        <f t="shared" si="558"/>
        <v>43677</v>
      </c>
      <c r="AL52" s="448">
        <f t="shared" si="558"/>
        <v>43708</v>
      </c>
      <c r="AM52" s="448">
        <f t="shared" si="558"/>
        <v>43738</v>
      </c>
      <c r="AN52" s="448">
        <f t="shared" si="558"/>
        <v>43769</v>
      </c>
      <c r="AO52" s="448">
        <f t="shared" si="558"/>
        <v>43799</v>
      </c>
      <c r="AP52" s="448">
        <f t="shared" si="558"/>
        <v>43830</v>
      </c>
      <c r="AQ52" s="448">
        <f t="shared" ref="AQ52" si="559">EOMONTH(AP52,1)</f>
        <v>43861</v>
      </c>
      <c r="AR52" s="448">
        <f t="shared" ref="AR52" si="560">EOMONTH(AQ52,1)</f>
        <v>43890</v>
      </c>
      <c r="AS52" s="448">
        <f t="shared" ref="AS52" si="561">EOMONTH(AR52,1)</f>
        <v>43921</v>
      </c>
      <c r="AT52" s="448">
        <f t="shared" ref="AT52" si="562">EOMONTH(AS52,1)</f>
        <v>43951</v>
      </c>
      <c r="AU52" s="448">
        <f t="shared" ref="AU52" si="563">EOMONTH(AT52,1)</f>
        <v>43982</v>
      </c>
      <c r="AV52" s="448">
        <f t="shared" ref="AV52" si="564">EOMONTH(AU52,1)</f>
        <v>44012</v>
      </c>
      <c r="AW52" s="448">
        <f t="shared" ref="AW52" si="565">EOMONTH(AV52,1)</f>
        <v>44043</v>
      </c>
      <c r="AX52" s="448">
        <f t="shared" ref="AX52" si="566">EOMONTH(AW52,1)</f>
        <v>44074</v>
      </c>
      <c r="AY52" s="448">
        <f t="shared" ref="AY52" si="567">EOMONTH(AX52,1)</f>
        <v>44104</v>
      </c>
      <c r="AZ52" s="448">
        <f t="shared" ref="AZ52" si="568">EOMONTH(AY52,1)</f>
        <v>44135</v>
      </c>
      <c r="BA52" s="448">
        <f t="shared" ref="BA52" si="569">EOMONTH(AZ52,1)</f>
        <v>44165</v>
      </c>
      <c r="BB52" s="448">
        <f t="shared" ref="BB52" si="570">EOMONTH(BA52,1)</f>
        <v>44196</v>
      </c>
      <c r="BC52" s="448">
        <f t="shared" ref="BC52" si="571">EOMONTH(BB52,1)</f>
        <v>44227</v>
      </c>
      <c r="BD52" s="448">
        <f t="shared" ref="BD52" si="572">EOMONTH(BC52,1)</f>
        <v>44255</v>
      </c>
      <c r="BE52" s="448">
        <f t="shared" ref="BE52" si="573">EOMONTH(BD52,1)</f>
        <v>44286</v>
      </c>
      <c r="BF52" s="448">
        <f t="shared" ref="BF52" si="574">EOMONTH(BE52,1)</f>
        <v>44316</v>
      </c>
      <c r="BG52" s="448">
        <f t="shared" ref="BG52" si="575">EOMONTH(BF52,1)</f>
        <v>44347</v>
      </c>
      <c r="BH52" s="448">
        <f t="shared" ref="BH52" si="576">EOMONTH(BG52,1)</f>
        <v>44377</v>
      </c>
      <c r="BI52" s="448">
        <f t="shared" ref="BI52" si="577">EOMONTH(BH52,1)</f>
        <v>44408</v>
      </c>
      <c r="BJ52" s="448">
        <f t="shared" ref="BJ52" si="578">EOMONTH(BI52,1)</f>
        <v>44439</v>
      </c>
      <c r="BK52" s="448">
        <f t="shared" ref="BK52" si="579">EOMONTH(BJ52,1)</f>
        <v>44469</v>
      </c>
      <c r="BL52" s="448">
        <f t="shared" ref="BL52" si="580">EOMONTH(BK52,1)</f>
        <v>44500</v>
      </c>
      <c r="BM52" s="448">
        <f t="shared" ref="BM52" si="581">EOMONTH(BL52,1)</f>
        <v>44530</v>
      </c>
      <c r="BN52" s="448">
        <f t="shared" ref="BN52" si="582">EOMONTH(BM52,1)</f>
        <v>44561</v>
      </c>
      <c r="BO52" s="448">
        <f t="shared" ref="BO52" si="583">EOMONTH(BN52,1)</f>
        <v>44592</v>
      </c>
      <c r="BP52" s="448">
        <f t="shared" ref="BP52" si="584">EOMONTH(BO52,1)</f>
        <v>44620</v>
      </c>
      <c r="BQ52" s="448">
        <f t="shared" ref="BQ52" si="585">EOMONTH(BP52,1)</f>
        <v>44651</v>
      </c>
      <c r="BR52" s="448">
        <f t="shared" ref="BR52" si="586">EOMONTH(BQ52,1)</f>
        <v>44681</v>
      </c>
      <c r="BS52" s="448">
        <f t="shared" ref="BS52" si="587">EOMONTH(BR52,1)</f>
        <v>44712</v>
      </c>
      <c r="BT52" s="448">
        <f t="shared" ref="BT52" si="588">EOMONTH(BS52,1)</f>
        <v>44742</v>
      </c>
      <c r="BU52" s="448">
        <f t="shared" ref="BU52" si="589">EOMONTH(BT52,1)</f>
        <v>44773</v>
      </c>
      <c r="BV52" s="448">
        <f t="shared" ref="BV52" si="590">EOMONTH(BU52,1)</f>
        <v>44804</v>
      </c>
      <c r="BW52" s="448">
        <f t="shared" ref="BW52" si="591">EOMONTH(BV52,1)</f>
        <v>44834</v>
      </c>
      <c r="BX52" s="448">
        <f t="shared" ref="BX52" si="592">EOMONTH(BW52,1)</f>
        <v>44865</v>
      </c>
      <c r="BY52" s="448">
        <f t="shared" ref="BY52" si="593">EOMONTH(BX52,1)</f>
        <v>44895</v>
      </c>
      <c r="BZ52" s="448">
        <f t="shared" ref="BZ52" si="594">EOMONTH(BY52,1)</f>
        <v>44926</v>
      </c>
      <c r="CA52" s="448">
        <f t="shared" ref="CA52" si="595">EOMONTH(BZ52,1)</f>
        <v>44957</v>
      </c>
      <c r="CB52" s="448">
        <f t="shared" ref="CB52" si="596">EOMONTH(CA52,1)</f>
        <v>44985</v>
      </c>
      <c r="CC52" s="448">
        <f t="shared" ref="CC52" si="597">EOMONTH(CB52,1)</f>
        <v>45016</v>
      </c>
      <c r="CD52" s="448">
        <f t="shared" ref="CD52" si="598">EOMONTH(CC52,1)</f>
        <v>45046</v>
      </c>
      <c r="CE52" s="448">
        <f t="shared" ref="CE52" si="599">EOMONTH(CD52,1)</f>
        <v>45077</v>
      </c>
      <c r="CF52" s="448">
        <f t="shared" ref="CF52" si="600">EOMONTH(CE52,1)</f>
        <v>45107</v>
      </c>
      <c r="CG52" s="448">
        <f t="shared" ref="CG52" si="601">EOMONTH(CF52,1)</f>
        <v>45138</v>
      </c>
      <c r="CH52" s="448">
        <f t="shared" ref="CH52" si="602">EOMONTH(CG52,1)</f>
        <v>45169</v>
      </c>
      <c r="CI52" s="448">
        <f t="shared" ref="CI52" si="603">EOMONTH(CH52,1)</f>
        <v>45199</v>
      </c>
      <c r="CJ52" s="448">
        <f t="shared" ref="CJ52" si="604">EOMONTH(CI52,1)</f>
        <v>45230</v>
      </c>
      <c r="CK52" s="448">
        <f t="shared" ref="CK52" si="605">EOMONTH(CJ52,1)</f>
        <v>45260</v>
      </c>
      <c r="CL52" s="448">
        <f t="shared" ref="CL52" si="606">EOMONTH(CK52,1)</f>
        <v>45291</v>
      </c>
      <c r="CM52" s="448">
        <f t="shared" ref="CM52" si="607">EOMONTH(CL52,1)</f>
        <v>45322</v>
      </c>
      <c r="CN52" s="448">
        <f t="shared" ref="CN52" si="608">EOMONTH(CM52,1)</f>
        <v>45351</v>
      </c>
      <c r="CO52" s="448">
        <f t="shared" ref="CO52" si="609">EOMONTH(CN52,1)</f>
        <v>45382</v>
      </c>
      <c r="CP52" s="448">
        <f t="shared" ref="CP52" si="610">EOMONTH(CO52,1)</f>
        <v>45412</v>
      </c>
      <c r="CQ52" s="448">
        <f t="shared" ref="CQ52" si="611">EOMONTH(CP52,1)</f>
        <v>45443</v>
      </c>
      <c r="CR52" s="448">
        <f t="shared" ref="CR52" si="612">EOMONTH(CQ52,1)</f>
        <v>45473</v>
      </c>
      <c r="CS52" s="448">
        <f t="shared" ref="CS52" si="613">EOMONTH(CR52,1)</f>
        <v>45504</v>
      </c>
      <c r="CT52" s="448">
        <f t="shared" ref="CT52" si="614">EOMONTH(CS52,1)</f>
        <v>45535</v>
      </c>
      <c r="CU52" s="448">
        <f t="shared" ref="CU52" si="615">EOMONTH(CT52,1)</f>
        <v>45565</v>
      </c>
      <c r="CV52" s="448">
        <f t="shared" ref="CV52" si="616">EOMONTH(CU52,1)</f>
        <v>45596</v>
      </c>
      <c r="CW52" s="448">
        <f t="shared" ref="CW52" si="617">EOMONTH(CV52,1)</f>
        <v>45626</v>
      </c>
      <c r="CX52" s="448">
        <f t="shared" ref="CX52" si="618">EOMONTH(CW52,1)</f>
        <v>45657</v>
      </c>
      <c r="CY52" s="448">
        <f t="shared" ref="CY52" si="619">EOMONTH(CX52,1)</f>
        <v>45688</v>
      </c>
      <c r="CZ52" s="448">
        <f t="shared" ref="CZ52" si="620">EOMONTH(CY52,1)</f>
        <v>45716</v>
      </c>
      <c r="DA52" s="448">
        <f t="shared" ref="DA52" si="621">EOMONTH(CZ52,1)</f>
        <v>45747</v>
      </c>
      <c r="DB52" s="448">
        <f t="shared" ref="DB52" si="622">EOMONTH(DA52,1)</f>
        <v>45777</v>
      </c>
      <c r="DC52" s="448">
        <f t="shared" ref="DC52" si="623">EOMONTH(DB52,1)</f>
        <v>45808</v>
      </c>
      <c r="DD52" s="448">
        <f t="shared" ref="DD52" si="624">EOMONTH(DC52,1)</f>
        <v>45838</v>
      </c>
      <c r="DE52" s="448">
        <f t="shared" ref="DE52" si="625">EOMONTH(DD52,1)</f>
        <v>45869</v>
      </c>
      <c r="DF52" s="448">
        <f t="shared" ref="DF52" si="626">EOMONTH(DE52,1)</f>
        <v>45900</v>
      </c>
      <c r="DG52" s="448">
        <f t="shared" ref="DG52" si="627">EOMONTH(DF52,1)</f>
        <v>45930</v>
      </c>
      <c r="DH52" s="448">
        <f t="shared" ref="DH52" si="628">EOMONTH(DG52,1)</f>
        <v>45961</v>
      </c>
      <c r="DI52" s="448">
        <f t="shared" ref="DI52" si="629">EOMONTH(DH52,1)</f>
        <v>45991</v>
      </c>
      <c r="DJ52" s="448">
        <f t="shared" ref="DJ52" si="630">EOMONTH(DI52,1)</f>
        <v>46022</v>
      </c>
      <c r="DK52" s="448">
        <f t="shared" ref="DK52" si="631">EOMONTH(DJ52,1)</f>
        <v>46053</v>
      </c>
      <c r="DL52" s="448">
        <f t="shared" ref="DL52" si="632">EOMONTH(DK52,1)</f>
        <v>46081</v>
      </c>
      <c r="DM52" s="448">
        <f t="shared" ref="DM52" si="633">EOMONTH(DL52,1)</f>
        <v>46112</v>
      </c>
      <c r="DN52" s="448">
        <f t="shared" ref="DN52" si="634">EOMONTH(DM52,1)</f>
        <v>46142</v>
      </c>
      <c r="DO52" s="448">
        <f t="shared" ref="DO52" si="635">EOMONTH(DN52,1)</f>
        <v>46173</v>
      </c>
      <c r="DP52" s="448">
        <f t="shared" ref="DP52" si="636">EOMONTH(DO52,1)</f>
        <v>46203</v>
      </c>
      <c r="DQ52" s="448">
        <f t="shared" ref="DQ52" si="637">EOMONTH(DP52,1)</f>
        <v>46234</v>
      </c>
      <c r="DR52" s="448">
        <f t="shared" ref="DR52" si="638">EOMONTH(DQ52,1)</f>
        <v>46265</v>
      </c>
      <c r="DS52" s="448">
        <f t="shared" ref="DS52" si="639">EOMONTH(DR52,1)</f>
        <v>46295</v>
      </c>
      <c r="DT52" s="448">
        <f t="shared" ref="DT52" si="640">EOMONTH(DS52,1)</f>
        <v>46326</v>
      </c>
      <c r="DU52" s="448">
        <f t="shared" ref="DU52" si="641">EOMONTH(DT52,1)</f>
        <v>46356</v>
      </c>
      <c r="DV52" s="448">
        <f t="shared" ref="DV52" si="642">EOMONTH(DU52,1)</f>
        <v>46387</v>
      </c>
      <c r="DW52" s="448">
        <f t="shared" ref="DW52" si="643">EOMONTH(DV52,1)</f>
        <v>46418</v>
      </c>
      <c r="DX52" s="448">
        <f t="shared" ref="DX52" si="644">EOMONTH(DW52,1)</f>
        <v>46446</v>
      </c>
      <c r="DY52" s="448">
        <f t="shared" ref="DY52" si="645">EOMONTH(DX52,1)</f>
        <v>46477</v>
      </c>
      <c r="DZ52" s="448">
        <f t="shared" ref="DZ52" si="646">EOMONTH(DY52,1)</f>
        <v>46507</v>
      </c>
      <c r="EA52" s="448">
        <f t="shared" ref="EA52" si="647">EOMONTH(DZ52,1)</f>
        <v>46538</v>
      </c>
      <c r="EB52" s="448">
        <f t="shared" ref="EB52" si="648">EOMONTH(EA52,1)</f>
        <v>46568</v>
      </c>
      <c r="EC52" s="448">
        <f t="shared" ref="EC52" si="649">EOMONTH(EB52,1)</f>
        <v>46599</v>
      </c>
      <c r="ED52" s="448">
        <f t="shared" ref="ED52" si="650">EOMONTH(EC52,1)</f>
        <v>46630</v>
      </c>
      <c r="EE52" s="448">
        <f t="shared" ref="EE52" si="651">EOMONTH(ED52,1)</f>
        <v>46660</v>
      </c>
      <c r="EF52" s="448">
        <f t="shared" ref="EF52" si="652">EOMONTH(EE52,1)</f>
        <v>46691</v>
      </c>
      <c r="EG52" s="448">
        <f t="shared" ref="EG52" si="653">EOMONTH(EF52,1)</f>
        <v>46721</v>
      </c>
      <c r="EH52" s="448">
        <f t="shared" ref="EH52" si="654">EOMONTH(EG52,1)</f>
        <v>46752</v>
      </c>
      <c r="EI52" s="448">
        <f t="shared" ref="EI52" si="655">EOMONTH(EH52,1)</f>
        <v>46783</v>
      </c>
      <c r="EJ52" s="448">
        <f t="shared" ref="EJ52" si="656">EOMONTH(EI52,1)</f>
        <v>46812</v>
      </c>
      <c r="EK52" s="448">
        <f t="shared" ref="EK52" si="657">EOMONTH(EJ52,1)</f>
        <v>46843</v>
      </c>
      <c r="EL52" s="448">
        <f t="shared" ref="EL52" si="658">EOMONTH(EK52,1)</f>
        <v>46873</v>
      </c>
      <c r="EM52" s="448">
        <f t="shared" ref="EM52" si="659">EOMONTH(EL52,1)</f>
        <v>46904</v>
      </c>
      <c r="EN52" s="448">
        <f t="shared" ref="EN52" si="660">EOMONTH(EM52,1)</f>
        <v>46934</v>
      </c>
      <c r="EO52" s="448">
        <f t="shared" ref="EO52" si="661">EOMONTH(EN52,1)</f>
        <v>46965</v>
      </c>
      <c r="EP52" s="448">
        <f t="shared" ref="EP52" si="662">EOMONTH(EO52,1)</f>
        <v>46996</v>
      </c>
      <c r="EQ52" s="448">
        <f t="shared" ref="EQ52" si="663">EOMONTH(EP52,1)</f>
        <v>47026</v>
      </c>
      <c r="ER52" s="448">
        <f t="shared" ref="ER52" si="664">EOMONTH(EQ52,1)</f>
        <v>47057</v>
      </c>
      <c r="ES52" s="448">
        <f t="shared" ref="ES52" si="665">EOMONTH(ER52,1)</f>
        <v>47087</v>
      </c>
      <c r="ET52" s="448">
        <f t="shared" ref="ET52" si="666">EOMONTH(ES52,1)</f>
        <v>47118</v>
      </c>
    </row>
    <row r="53" spans="3:150" outlineLevel="1">
      <c r="C53" s="142"/>
      <c r="D53" s="48"/>
      <c r="E53" s="160"/>
      <c r="F53" s="48"/>
      <c r="G53" s="48"/>
      <c r="H53" s="48"/>
      <c r="I53" s="48"/>
      <c r="J53" s="48"/>
      <c r="K53" s="48"/>
      <c r="L53" s="48"/>
      <c r="M53" s="48"/>
      <c r="N53" s="48"/>
      <c r="O53" s="48"/>
      <c r="P53" s="48"/>
      <c r="Q53" s="48"/>
      <c r="R53" s="139"/>
      <c r="S53" s="136"/>
      <c r="T53" s="136"/>
      <c r="U53" s="136"/>
      <c r="V53" s="136"/>
      <c r="W53" s="136"/>
      <c r="X53" s="136"/>
      <c r="Y53" s="136"/>
      <c r="Z53" s="136"/>
      <c r="AA53" s="136"/>
      <c r="AB53" s="136"/>
      <c r="AC53" s="136"/>
      <c r="AD53" s="139"/>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c r="DL53" s="136"/>
      <c r="DM53" s="136"/>
      <c r="DN53" s="136"/>
      <c r="DO53" s="136"/>
      <c r="DP53" s="136"/>
      <c r="DQ53" s="136"/>
      <c r="DR53" s="136"/>
      <c r="DS53" s="136"/>
      <c r="DT53" s="136"/>
      <c r="DU53" s="136"/>
      <c r="DV53" s="136"/>
      <c r="DW53" s="136"/>
      <c r="DX53" s="136"/>
      <c r="DY53" s="136"/>
      <c r="DZ53" s="136"/>
      <c r="EA53" s="136"/>
      <c r="EB53" s="136"/>
      <c r="EC53" s="136"/>
      <c r="ED53" s="136"/>
      <c r="EE53" s="136"/>
      <c r="EF53" s="136"/>
      <c r="EG53" s="136"/>
      <c r="EH53" s="136"/>
      <c r="EI53" s="136"/>
      <c r="EJ53" s="136"/>
      <c r="EK53" s="136"/>
      <c r="EL53" s="136"/>
      <c r="EM53" s="136"/>
      <c r="EN53" s="136"/>
      <c r="EO53" s="136"/>
      <c r="EP53" s="136"/>
      <c r="EQ53" s="136"/>
      <c r="ER53" s="136"/>
      <c r="ES53" s="136"/>
      <c r="ET53" s="136"/>
    </row>
    <row r="54" spans="3:150" outlineLevel="1">
      <c r="C54" s="161"/>
      <c r="D54" s="48"/>
      <c r="E54" s="160"/>
      <c r="F54" s="137"/>
      <c r="G54" s="48"/>
      <c r="H54" s="48"/>
      <c r="I54" s="138"/>
      <c r="J54" s="48"/>
      <c r="K54" s="48"/>
      <c r="L54" s="138"/>
      <c r="M54" s="48"/>
      <c r="N54" s="48"/>
      <c r="O54" s="138"/>
      <c r="P54" s="48"/>
      <c r="Q54" s="48"/>
      <c r="R54" s="137"/>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c r="BX54" s="139"/>
      <c r="BY54" s="139"/>
      <c r="BZ54" s="139"/>
      <c r="CA54" s="139"/>
      <c r="CB54" s="139"/>
      <c r="CC54" s="139"/>
      <c r="CD54" s="139"/>
      <c r="CE54" s="139"/>
      <c r="CF54" s="139"/>
      <c r="CG54" s="139"/>
      <c r="CH54" s="139"/>
      <c r="CI54" s="139"/>
      <c r="CJ54" s="139"/>
      <c r="CK54" s="139"/>
      <c r="CL54" s="139"/>
      <c r="CM54" s="139"/>
      <c r="CN54" s="139"/>
      <c r="CO54" s="139"/>
      <c r="CP54" s="139"/>
      <c r="CQ54" s="139"/>
      <c r="CR54" s="139"/>
      <c r="CS54" s="139"/>
      <c r="CT54" s="139"/>
      <c r="CU54" s="139"/>
      <c r="CV54" s="139"/>
      <c r="CW54" s="139"/>
      <c r="CX54" s="139"/>
      <c r="CY54" s="139"/>
      <c r="CZ54" s="139"/>
      <c r="DA54" s="139"/>
      <c r="DB54" s="139"/>
      <c r="DC54" s="139"/>
      <c r="DD54" s="139"/>
      <c r="DE54" s="139"/>
      <c r="DF54" s="139"/>
      <c r="DG54" s="139"/>
      <c r="DH54" s="139"/>
      <c r="DI54" s="139"/>
      <c r="DJ54" s="139"/>
      <c r="DK54" s="139"/>
      <c r="DL54" s="139"/>
      <c r="DM54" s="139"/>
      <c r="DN54" s="139"/>
      <c r="DO54" s="139"/>
      <c r="DP54" s="139"/>
      <c r="DQ54" s="139"/>
      <c r="DR54" s="139"/>
      <c r="DS54" s="139"/>
      <c r="DT54" s="139"/>
      <c r="DU54" s="139"/>
      <c r="DV54" s="139"/>
      <c r="DW54" s="139"/>
      <c r="DX54" s="139"/>
      <c r="DY54" s="139"/>
      <c r="DZ54" s="139"/>
      <c r="EA54" s="139"/>
      <c r="EB54" s="139"/>
      <c r="EC54" s="139"/>
      <c r="ED54" s="139"/>
      <c r="EE54" s="139"/>
      <c r="EF54" s="139"/>
      <c r="EG54" s="139"/>
      <c r="EH54" s="139"/>
      <c r="EI54" s="139"/>
      <c r="EJ54" s="139"/>
      <c r="EK54" s="139"/>
      <c r="EL54" s="139"/>
      <c r="EM54" s="139"/>
      <c r="EN54" s="139"/>
      <c r="EO54" s="139"/>
      <c r="EP54" s="139"/>
      <c r="EQ54" s="139"/>
      <c r="ER54" s="139"/>
      <c r="ES54" s="139"/>
      <c r="ET54" s="139"/>
    </row>
    <row r="55" spans="3:150" outlineLevel="1">
      <c r="C55" s="161"/>
      <c r="D55" s="48"/>
      <c r="E55" s="160"/>
      <c r="F55" s="137"/>
      <c r="G55" s="48"/>
      <c r="H55" s="48"/>
      <c r="I55" s="138"/>
      <c r="J55" s="48"/>
      <c r="K55" s="48"/>
      <c r="L55" s="138"/>
      <c r="M55" s="138"/>
      <c r="N55" s="138"/>
      <c r="O55" s="138"/>
      <c r="P55" s="48"/>
      <c r="Q55" s="48"/>
      <c r="R55" s="137"/>
      <c r="S55" s="139"/>
      <c r="T55" s="139"/>
      <c r="U55" s="139"/>
      <c r="V55" s="139"/>
      <c r="W55" s="139"/>
      <c r="X55" s="139"/>
      <c r="Y55" s="139"/>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139"/>
      <c r="BN55" s="139"/>
      <c r="BO55" s="139"/>
      <c r="BP55" s="139"/>
      <c r="BQ55" s="139"/>
      <c r="BR55" s="139"/>
      <c r="BS55" s="139"/>
      <c r="BT55" s="139"/>
      <c r="BU55" s="139"/>
      <c r="BV55" s="139"/>
      <c r="BW55" s="139"/>
      <c r="BX55" s="139"/>
      <c r="BY55" s="139"/>
      <c r="BZ55" s="139"/>
      <c r="CA55" s="139"/>
      <c r="CB55" s="139"/>
      <c r="CC55" s="139"/>
      <c r="CD55" s="139"/>
      <c r="CE55" s="139"/>
      <c r="CF55" s="139"/>
      <c r="CG55" s="139"/>
      <c r="CH55" s="139"/>
      <c r="CI55" s="139"/>
      <c r="CJ55" s="139"/>
      <c r="CK55" s="139"/>
      <c r="CL55" s="139"/>
      <c r="CM55" s="139"/>
      <c r="CN55" s="139"/>
      <c r="CO55" s="139"/>
      <c r="CP55" s="139"/>
      <c r="CQ55" s="139"/>
      <c r="CR55" s="139"/>
      <c r="CS55" s="139"/>
      <c r="CT55" s="139"/>
      <c r="CU55" s="139"/>
      <c r="CV55" s="139"/>
      <c r="CW55" s="139"/>
      <c r="CX55" s="139"/>
      <c r="CY55" s="139"/>
      <c r="CZ55" s="139"/>
      <c r="DA55" s="139"/>
      <c r="DB55" s="139"/>
      <c r="DC55" s="139"/>
      <c r="DD55" s="139"/>
      <c r="DE55" s="139"/>
      <c r="DF55" s="139"/>
      <c r="DG55" s="139"/>
      <c r="DH55" s="139"/>
      <c r="DI55" s="139"/>
      <c r="DJ55" s="139"/>
      <c r="DK55" s="139"/>
      <c r="DL55" s="139"/>
      <c r="DM55" s="139"/>
      <c r="DN55" s="139"/>
      <c r="DO55" s="139"/>
      <c r="DP55" s="139"/>
      <c r="DQ55" s="139"/>
      <c r="DR55" s="139"/>
      <c r="DS55" s="139"/>
      <c r="DT55" s="139"/>
      <c r="DU55" s="139"/>
      <c r="DV55" s="139"/>
      <c r="DW55" s="139"/>
      <c r="DX55" s="139"/>
      <c r="DY55" s="139"/>
      <c r="DZ55" s="139"/>
      <c r="EA55" s="139"/>
      <c r="EB55" s="139"/>
      <c r="EC55" s="139"/>
      <c r="ED55" s="139"/>
      <c r="EE55" s="139"/>
      <c r="EF55" s="139"/>
      <c r="EG55" s="139"/>
      <c r="EH55" s="139"/>
      <c r="EI55" s="139"/>
      <c r="EJ55" s="139"/>
      <c r="EK55" s="139"/>
      <c r="EL55" s="139"/>
      <c r="EM55" s="139"/>
      <c r="EN55" s="139"/>
      <c r="EO55" s="139"/>
      <c r="EP55" s="139"/>
      <c r="EQ55" s="139"/>
      <c r="ER55" s="139"/>
      <c r="ES55" s="139"/>
      <c r="ET55" s="139"/>
    </row>
    <row r="56" spans="3:150" outlineLevel="1">
      <c r="C56" s="161"/>
      <c r="D56" s="48"/>
      <c r="E56" s="160"/>
      <c r="F56" s="137"/>
      <c r="G56" s="137"/>
      <c r="H56" s="137"/>
      <c r="I56" s="137"/>
      <c r="J56" s="137"/>
      <c r="K56" s="137"/>
      <c r="L56" s="137"/>
      <c r="M56" s="137"/>
      <c r="N56" s="137"/>
      <c r="O56" s="137"/>
      <c r="P56" s="137"/>
      <c r="Q56" s="137"/>
      <c r="R56" s="137"/>
      <c r="S56" s="137"/>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41"/>
      <c r="DL56" s="141"/>
      <c r="DM56" s="141"/>
      <c r="DN56" s="141"/>
      <c r="DO56" s="141"/>
      <c r="DP56" s="141"/>
      <c r="DQ56" s="141"/>
      <c r="DR56" s="141"/>
      <c r="DS56" s="141"/>
      <c r="DT56" s="141"/>
      <c r="DU56" s="141"/>
      <c r="DV56" s="141"/>
      <c r="DW56" s="141"/>
      <c r="DX56" s="141"/>
      <c r="DY56" s="141"/>
      <c r="DZ56" s="141"/>
      <c r="EA56" s="141"/>
      <c r="EB56" s="141"/>
      <c r="EC56" s="141"/>
      <c r="ED56" s="141"/>
      <c r="EE56" s="141"/>
      <c r="EF56" s="141"/>
      <c r="EG56" s="141"/>
      <c r="EH56" s="141"/>
      <c r="EI56" s="141"/>
      <c r="EJ56" s="141"/>
      <c r="EK56" s="141"/>
      <c r="EL56" s="141"/>
      <c r="EM56" s="141"/>
      <c r="EN56" s="141"/>
      <c r="EO56" s="141"/>
      <c r="EP56" s="141"/>
      <c r="EQ56" s="141"/>
      <c r="ER56" s="141"/>
      <c r="ES56" s="141"/>
      <c r="ET56" s="141"/>
    </row>
    <row r="57" spans="3:150" outlineLevel="1">
      <c r="C57" s="161"/>
      <c r="D57" s="48"/>
      <c r="E57" s="160"/>
      <c r="F57" s="137"/>
      <c r="G57" s="137"/>
      <c r="H57" s="137"/>
      <c r="I57" s="137"/>
      <c r="J57" s="137"/>
      <c r="K57" s="137"/>
      <c r="L57" s="137"/>
      <c r="M57" s="137"/>
      <c r="N57" s="137"/>
      <c r="O57" s="137"/>
      <c r="P57" s="137"/>
      <c r="Q57" s="137"/>
      <c r="R57" s="137"/>
      <c r="S57" s="137"/>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41"/>
      <c r="DL57" s="141"/>
      <c r="DM57" s="141"/>
      <c r="DN57" s="141"/>
      <c r="DO57" s="141"/>
      <c r="DP57" s="141"/>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row>
    <row r="58" spans="3:150" outlineLevel="1">
      <c r="C58" s="161"/>
      <c r="D58" s="48"/>
      <c r="E58" s="160"/>
      <c r="F58" s="48"/>
      <c r="G58" s="137"/>
      <c r="H58" s="137"/>
      <c r="I58" s="137"/>
      <c r="J58" s="137"/>
      <c r="K58" s="137"/>
      <c r="L58" s="137"/>
      <c r="M58" s="137"/>
      <c r="N58" s="137"/>
      <c r="O58" s="137"/>
      <c r="P58" s="137"/>
      <c r="Q58" s="137"/>
      <c r="R58" s="137"/>
      <c r="S58" s="137"/>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1"/>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41"/>
      <c r="DL58" s="141"/>
      <c r="DM58" s="141"/>
      <c r="DN58" s="141"/>
      <c r="DO58" s="141"/>
      <c r="DP58" s="141"/>
      <c r="DQ58" s="141"/>
      <c r="DR58" s="141"/>
      <c r="DS58" s="141"/>
      <c r="DT58" s="141"/>
      <c r="DU58" s="141"/>
      <c r="DV58" s="141"/>
      <c r="DW58" s="141"/>
      <c r="DX58" s="141"/>
      <c r="DY58" s="141"/>
      <c r="DZ58" s="141"/>
      <c r="EA58" s="141"/>
      <c r="EB58" s="141"/>
      <c r="EC58" s="141"/>
      <c r="ED58" s="141"/>
      <c r="EE58" s="141"/>
      <c r="EF58" s="141"/>
      <c r="EG58" s="141"/>
      <c r="EH58" s="141"/>
      <c r="EI58" s="141"/>
      <c r="EJ58" s="141"/>
      <c r="EK58" s="141"/>
      <c r="EL58" s="141"/>
      <c r="EM58" s="141"/>
      <c r="EN58" s="141"/>
      <c r="EO58" s="141"/>
      <c r="EP58" s="141"/>
      <c r="EQ58" s="141"/>
      <c r="ER58" s="141"/>
      <c r="ES58" s="141"/>
      <c r="ET58" s="141"/>
    </row>
    <row r="59" spans="3:150" outlineLevel="1">
      <c r="C59" s="161"/>
      <c r="D59" s="48"/>
      <c r="E59" s="160"/>
      <c r="F59" s="142"/>
      <c r="G59" s="137"/>
      <c r="H59" s="137"/>
      <c r="I59" s="137"/>
      <c r="J59" s="137"/>
      <c r="K59" s="137"/>
      <c r="L59" s="137"/>
      <c r="M59" s="137"/>
      <c r="N59" s="137"/>
      <c r="O59" s="137"/>
      <c r="P59" s="137"/>
      <c r="Q59" s="137"/>
      <c r="R59" s="137"/>
      <c r="S59" s="137"/>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c r="BD59" s="141"/>
      <c r="BE59" s="141"/>
      <c r="BF59" s="141"/>
      <c r="BG59" s="141"/>
      <c r="BH59" s="141"/>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41"/>
      <c r="DL59" s="141"/>
      <c r="DM59" s="141"/>
      <c r="DN59" s="141"/>
      <c r="DO59" s="141"/>
      <c r="DP59" s="141"/>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row>
    <row r="60" spans="3:150" outlineLevel="1">
      <c r="C60" s="289"/>
      <c r="D60" s="290"/>
      <c r="E60" s="291"/>
      <c r="F60" s="292"/>
      <c r="G60" s="275"/>
      <c r="H60" s="275"/>
      <c r="I60" s="275"/>
      <c r="J60" s="275"/>
      <c r="K60" s="275"/>
      <c r="L60" s="275"/>
      <c r="M60" s="275"/>
      <c r="N60" s="275"/>
      <c r="O60" s="275"/>
      <c r="P60" s="275"/>
      <c r="Q60" s="275"/>
      <c r="R60" s="275"/>
      <c r="S60" s="275"/>
      <c r="T60" s="293"/>
      <c r="U60" s="293"/>
      <c r="V60" s="293"/>
      <c r="W60" s="293"/>
      <c r="X60" s="293"/>
      <c r="Y60" s="293"/>
      <c r="Z60" s="293"/>
      <c r="AA60" s="293"/>
      <c r="AB60" s="293"/>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c r="BM60" s="293"/>
      <c r="BN60" s="293"/>
      <c r="BO60" s="293"/>
      <c r="BP60" s="293"/>
      <c r="BQ60" s="293"/>
      <c r="BR60" s="293"/>
      <c r="BS60" s="293"/>
      <c r="BT60" s="293"/>
      <c r="BU60" s="293"/>
      <c r="BV60" s="293"/>
      <c r="BW60" s="293"/>
      <c r="BX60" s="293"/>
      <c r="BY60" s="293"/>
      <c r="BZ60" s="293"/>
      <c r="CA60" s="293"/>
      <c r="CB60" s="293"/>
      <c r="CC60" s="293"/>
      <c r="CD60" s="293"/>
      <c r="CE60" s="293"/>
      <c r="CF60" s="293"/>
      <c r="CG60" s="293"/>
      <c r="CH60" s="293"/>
      <c r="CI60" s="293"/>
      <c r="CJ60" s="293"/>
      <c r="CK60" s="293"/>
      <c r="CL60" s="293"/>
      <c r="CM60" s="293"/>
      <c r="CN60" s="293"/>
      <c r="CO60" s="293"/>
      <c r="CP60" s="293"/>
      <c r="CQ60" s="293"/>
      <c r="CR60" s="293"/>
      <c r="CS60" s="293"/>
      <c r="CT60" s="293"/>
      <c r="CU60" s="293"/>
      <c r="CV60" s="293"/>
      <c r="CW60" s="293"/>
      <c r="CX60" s="293"/>
      <c r="CY60" s="293"/>
      <c r="CZ60" s="293"/>
      <c r="DA60" s="293"/>
      <c r="DB60" s="293"/>
      <c r="DC60" s="293"/>
      <c r="DD60" s="293"/>
      <c r="DE60" s="293"/>
      <c r="DF60" s="293"/>
      <c r="DG60" s="293"/>
      <c r="DH60" s="293"/>
      <c r="DI60" s="293"/>
      <c r="DJ60" s="293"/>
      <c r="DK60" s="293"/>
      <c r="DL60" s="293"/>
      <c r="DM60" s="293"/>
      <c r="DN60" s="293"/>
      <c r="DO60" s="293"/>
      <c r="DP60" s="293"/>
      <c r="DQ60" s="293"/>
      <c r="DR60" s="293"/>
      <c r="DS60" s="293"/>
      <c r="DT60" s="293"/>
      <c r="DU60" s="293"/>
      <c r="DV60" s="293"/>
      <c r="DW60" s="293"/>
      <c r="DX60" s="293"/>
      <c r="DY60" s="293"/>
      <c r="DZ60" s="293"/>
      <c r="EA60" s="293"/>
      <c r="EB60" s="293"/>
      <c r="EC60" s="293"/>
      <c r="ED60" s="293"/>
      <c r="EE60" s="293"/>
      <c r="EF60" s="293"/>
      <c r="EG60" s="293"/>
      <c r="EH60" s="293"/>
      <c r="EI60" s="293"/>
      <c r="EJ60" s="293"/>
      <c r="EK60" s="293"/>
      <c r="EL60" s="293"/>
      <c r="EM60" s="293"/>
      <c r="EN60" s="293"/>
      <c r="EO60" s="293"/>
      <c r="EP60" s="293"/>
      <c r="EQ60" s="293"/>
      <c r="ER60" s="293"/>
      <c r="ES60" s="293"/>
      <c r="ET60" s="293"/>
    </row>
    <row r="61" spans="3:150" outlineLevel="1">
      <c r="C61" s="442" t="str">
        <f>"Guarantor - "&amp;E37&amp;" Tracking Items"</f>
        <v>Guarantor - n/a Tracking Items</v>
      </c>
      <c r="D61" s="441"/>
      <c r="E61" s="441"/>
      <c r="F61" s="441"/>
      <c r="G61" s="441"/>
      <c r="H61" s="441"/>
      <c r="I61" s="441"/>
      <c r="J61" s="441"/>
      <c r="K61" s="441"/>
      <c r="L61" s="441"/>
      <c r="M61" s="441"/>
      <c r="N61" s="441"/>
      <c r="O61" s="441"/>
      <c r="P61" s="441"/>
      <c r="Q61" s="441"/>
      <c r="R61" s="441"/>
      <c r="S61" s="441"/>
      <c r="T61" s="441"/>
      <c r="U61" s="441"/>
      <c r="V61" s="441"/>
      <c r="W61" s="441"/>
      <c r="X61" s="441"/>
      <c r="Y61" s="441"/>
      <c r="Z61" s="441"/>
      <c r="AA61" s="441"/>
      <c r="AB61" s="441"/>
      <c r="AC61" s="441"/>
      <c r="AD61" s="441"/>
      <c r="AE61" s="441"/>
      <c r="AF61" s="441"/>
      <c r="AG61" s="441"/>
      <c r="AH61" s="441"/>
      <c r="AI61" s="441"/>
      <c r="AJ61" s="441"/>
      <c r="AK61" s="441"/>
      <c r="AL61" s="441"/>
      <c r="AM61" s="441"/>
      <c r="AN61" s="441"/>
      <c r="AO61" s="441"/>
      <c r="AP61" s="441"/>
      <c r="AQ61" s="441"/>
      <c r="AR61" s="441"/>
      <c r="AS61" s="441"/>
      <c r="AT61" s="441"/>
      <c r="AU61" s="441"/>
      <c r="AV61" s="441"/>
      <c r="AW61" s="441"/>
      <c r="AX61" s="441"/>
      <c r="AY61" s="441"/>
      <c r="AZ61" s="441"/>
      <c r="BA61" s="441"/>
      <c r="BB61" s="441"/>
      <c r="BC61" s="441"/>
      <c r="BD61" s="441"/>
      <c r="BE61" s="441"/>
      <c r="BF61" s="441"/>
      <c r="BG61" s="441"/>
      <c r="BH61" s="441"/>
      <c r="BI61" s="441"/>
      <c r="BJ61" s="441"/>
      <c r="BK61" s="441"/>
      <c r="BL61" s="441"/>
      <c r="BM61" s="441"/>
      <c r="BN61" s="441"/>
      <c r="BO61" s="441"/>
      <c r="BP61" s="441"/>
      <c r="BQ61" s="441"/>
      <c r="BR61" s="441"/>
      <c r="BS61" s="441"/>
      <c r="BT61" s="441"/>
      <c r="BU61" s="441"/>
      <c r="BV61" s="441"/>
      <c r="BW61" s="441"/>
      <c r="BX61" s="441"/>
      <c r="BY61" s="441"/>
      <c r="BZ61" s="441"/>
      <c r="CA61" s="441"/>
      <c r="CB61" s="441"/>
      <c r="CC61" s="441"/>
      <c r="CD61" s="441"/>
      <c r="CE61" s="441"/>
      <c r="CF61" s="441"/>
      <c r="CG61" s="441"/>
      <c r="CH61" s="441"/>
      <c r="CI61" s="441"/>
      <c r="CJ61" s="441"/>
      <c r="CK61" s="441"/>
      <c r="CL61" s="441"/>
      <c r="CM61" s="441"/>
      <c r="CN61" s="441"/>
      <c r="CO61" s="441"/>
      <c r="CP61" s="441"/>
      <c r="CQ61" s="441"/>
      <c r="CR61" s="441"/>
      <c r="CS61" s="441"/>
      <c r="CT61" s="441"/>
      <c r="CU61" s="441"/>
      <c r="CV61" s="441"/>
      <c r="CW61" s="441"/>
      <c r="CX61" s="441"/>
      <c r="CY61" s="441"/>
      <c r="CZ61" s="441"/>
      <c r="DA61" s="441"/>
      <c r="DB61" s="441"/>
      <c r="DC61" s="441"/>
      <c r="DD61" s="441"/>
      <c r="DE61" s="441"/>
      <c r="DF61" s="441"/>
      <c r="DG61" s="441"/>
      <c r="DH61" s="441"/>
      <c r="DI61" s="441"/>
      <c r="DJ61" s="441"/>
      <c r="DK61" s="441"/>
      <c r="DL61" s="441"/>
      <c r="DM61" s="441"/>
      <c r="DN61" s="441"/>
      <c r="DO61" s="441"/>
      <c r="DP61" s="441"/>
      <c r="DQ61" s="441"/>
      <c r="DR61" s="441"/>
      <c r="DS61" s="441"/>
      <c r="DT61" s="441"/>
      <c r="DU61" s="441"/>
      <c r="DV61" s="441"/>
      <c r="DW61" s="441"/>
      <c r="DX61" s="441"/>
      <c r="DY61" s="441"/>
      <c r="DZ61" s="441"/>
      <c r="EA61" s="441"/>
      <c r="EB61" s="441"/>
      <c r="EC61" s="441"/>
      <c r="ED61" s="441"/>
      <c r="EE61" s="441"/>
      <c r="EF61" s="441"/>
      <c r="EG61" s="441"/>
      <c r="EH61" s="441"/>
      <c r="EI61" s="441"/>
      <c r="EJ61" s="441"/>
      <c r="EK61" s="441"/>
      <c r="EL61" s="441"/>
      <c r="EM61" s="441"/>
      <c r="EN61" s="441"/>
      <c r="EO61" s="441"/>
      <c r="EP61" s="441"/>
      <c r="EQ61" s="441"/>
      <c r="ER61" s="441"/>
      <c r="ES61" s="441"/>
      <c r="ET61" s="441"/>
    </row>
    <row r="62" spans="3:150" outlineLevel="1">
      <c r="C62" s="444" t="s">
        <v>72</v>
      </c>
      <c r="D62" s="443" t="s">
        <v>103</v>
      </c>
      <c r="E62" s="445" t="s">
        <v>104</v>
      </c>
      <c r="F62" s="447">
        <f>$F$8</f>
        <v>42735</v>
      </c>
      <c r="G62" s="447">
        <f>EOMONTH(F62,1)</f>
        <v>42766</v>
      </c>
      <c r="H62" s="448">
        <f t="shared" ref="H62" si="667">EOMONTH(G62,1)</f>
        <v>42794</v>
      </c>
      <c r="I62" s="449">
        <f t="shared" ref="I62" si="668">EOMONTH(H62,1)</f>
        <v>42825</v>
      </c>
      <c r="J62" s="450">
        <f t="shared" ref="J62" si="669">EOMONTH(I62,1)</f>
        <v>42855</v>
      </c>
      <c r="K62" s="450">
        <f t="shared" ref="K62" si="670">EOMONTH(J62,1)</f>
        <v>42886</v>
      </c>
      <c r="L62" s="450">
        <f t="shared" ref="L62" si="671">EOMONTH(K62,1)</f>
        <v>42916</v>
      </c>
      <c r="M62" s="448">
        <f t="shared" ref="M62" si="672">EOMONTH(L62,1)</f>
        <v>42947</v>
      </c>
      <c r="N62" s="449">
        <f t="shared" ref="N62" si="673">EOMONTH(M62,1)</f>
        <v>42978</v>
      </c>
      <c r="O62" s="450">
        <f t="shared" ref="O62" si="674">EOMONTH(N62,1)</f>
        <v>43008</v>
      </c>
      <c r="P62" s="450">
        <f t="shared" ref="P62" si="675">EOMONTH(O62,1)</f>
        <v>43039</v>
      </c>
      <c r="Q62" s="450">
        <f t="shared" ref="Q62" si="676">EOMONTH(P62,1)</f>
        <v>43069</v>
      </c>
      <c r="R62" s="450">
        <f t="shared" ref="R62" si="677">EOMONTH(Q62,1)</f>
        <v>43100</v>
      </c>
      <c r="S62" s="450">
        <f t="shared" ref="S62" si="678">EOMONTH(R62,1)</f>
        <v>43131</v>
      </c>
      <c r="T62" s="448">
        <f t="shared" ref="T62" si="679">EOMONTH(S62,1)</f>
        <v>43159</v>
      </c>
      <c r="U62" s="449">
        <f t="shared" ref="U62" si="680">EOMONTH(T62,1)</f>
        <v>43190</v>
      </c>
      <c r="V62" s="448">
        <f t="shared" ref="V62" si="681">EOMONTH(U62,1)</f>
        <v>43220</v>
      </c>
      <c r="W62" s="449">
        <f t="shared" ref="W62" si="682">EOMONTH(V62,1)</f>
        <v>43251</v>
      </c>
      <c r="X62" s="448">
        <f t="shared" ref="X62" si="683">EOMONTH(W62,1)</f>
        <v>43281</v>
      </c>
      <c r="Y62" s="448">
        <f t="shared" ref="Y62" si="684">EOMONTH(X62,1)</f>
        <v>43312</v>
      </c>
      <c r="Z62" s="449">
        <f t="shared" ref="Z62" si="685">EOMONTH(Y62,1)</f>
        <v>43343</v>
      </c>
      <c r="AA62" s="448">
        <f t="shared" ref="AA62" si="686">EOMONTH(Z62,1)</f>
        <v>43373</v>
      </c>
      <c r="AB62" s="449">
        <f t="shared" ref="AB62" si="687">EOMONTH(AA62,1)</f>
        <v>43404</v>
      </c>
      <c r="AC62" s="448">
        <f t="shared" ref="AC62" si="688">EOMONTH(AB62,1)</f>
        <v>43434</v>
      </c>
      <c r="AD62" s="449">
        <f t="shared" ref="AD62" si="689">EOMONTH(AC62,1)</f>
        <v>43465</v>
      </c>
      <c r="AE62" s="448">
        <f>EOMONTH(AD62,1)</f>
        <v>43496</v>
      </c>
      <c r="AF62" s="448">
        <f t="shared" ref="AF62:AP62" si="690">EOMONTH(AE62,1)</f>
        <v>43524</v>
      </c>
      <c r="AG62" s="448">
        <f t="shared" si="690"/>
        <v>43555</v>
      </c>
      <c r="AH62" s="448">
        <f t="shared" si="690"/>
        <v>43585</v>
      </c>
      <c r="AI62" s="448">
        <f t="shared" si="690"/>
        <v>43616</v>
      </c>
      <c r="AJ62" s="448">
        <f t="shared" si="690"/>
        <v>43646</v>
      </c>
      <c r="AK62" s="448">
        <f t="shared" si="690"/>
        <v>43677</v>
      </c>
      <c r="AL62" s="448">
        <f t="shared" si="690"/>
        <v>43708</v>
      </c>
      <c r="AM62" s="448">
        <f t="shared" si="690"/>
        <v>43738</v>
      </c>
      <c r="AN62" s="448">
        <f t="shared" si="690"/>
        <v>43769</v>
      </c>
      <c r="AO62" s="448">
        <f t="shared" si="690"/>
        <v>43799</v>
      </c>
      <c r="AP62" s="448">
        <f t="shared" si="690"/>
        <v>43830</v>
      </c>
      <c r="AQ62" s="448">
        <f t="shared" ref="AQ62" si="691">EOMONTH(AP62,1)</f>
        <v>43861</v>
      </c>
      <c r="AR62" s="448">
        <f t="shared" ref="AR62" si="692">EOMONTH(AQ62,1)</f>
        <v>43890</v>
      </c>
      <c r="AS62" s="448">
        <f t="shared" ref="AS62" si="693">EOMONTH(AR62,1)</f>
        <v>43921</v>
      </c>
      <c r="AT62" s="448">
        <f t="shared" ref="AT62" si="694">EOMONTH(AS62,1)</f>
        <v>43951</v>
      </c>
      <c r="AU62" s="448">
        <f t="shared" ref="AU62" si="695">EOMONTH(AT62,1)</f>
        <v>43982</v>
      </c>
      <c r="AV62" s="448">
        <f t="shared" ref="AV62" si="696">EOMONTH(AU62,1)</f>
        <v>44012</v>
      </c>
      <c r="AW62" s="448">
        <f t="shared" ref="AW62" si="697">EOMONTH(AV62,1)</f>
        <v>44043</v>
      </c>
      <c r="AX62" s="448">
        <f t="shared" ref="AX62" si="698">EOMONTH(AW62,1)</f>
        <v>44074</v>
      </c>
      <c r="AY62" s="448">
        <f t="shared" ref="AY62" si="699">EOMONTH(AX62,1)</f>
        <v>44104</v>
      </c>
      <c r="AZ62" s="448">
        <f t="shared" ref="AZ62" si="700">EOMONTH(AY62,1)</f>
        <v>44135</v>
      </c>
      <c r="BA62" s="448">
        <f t="shared" ref="BA62" si="701">EOMONTH(AZ62,1)</f>
        <v>44165</v>
      </c>
      <c r="BB62" s="448">
        <f t="shared" ref="BB62" si="702">EOMONTH(BA62,1)</f>
        <v>44196</v>
      </c>
      <c r="BC62" s="448">
        <f t="shared" ref="BC62" si="703">EOMONTH(BB62,1)</f>
        <v>44227</v>
      </c>
      <c r="BD62" s="448">
        <f t="shared" ref="BD62" si="704">EOMONTH(BC62,1)</f>
        <v>44255</v>
      </c>
      <c r="BE62" s="448">
        <f t="shared" ref="BE62" si="705">EOMONTH(BD62,1)</f>
        <v>44286</v>
      </c>
      <c r="BF62" s="448">
        <f t="shared" ref="BF62" si="706">EOMONTH(BE62,1)</f>
        <v>44316</v>
      </c>
      <c r="BG62" s="448">
        <f t="shared" ref="BG62" si="707">EOMONTH(BF62,1)</f>
        <v>44347</v>
      </c>
      <c r="BH62" s="448">
        <f t="shared" ref="BH62" si="708">EOMONTH(BG62,1)</f>
        <v>44377</v>
      </c>
      <c r="BI62" s="448">
        <f t="shared" ref="BI62" si="709">EOMONTH(BH62,1)</f>
        <v>44408</v>
      </c>
      <c r="BJ62" s="448">
        <f t="shared" ref="BJ62" si="710">EOMONTH(BI62,1)</f>
        <v>44439</v>
      </c>
      <c r="BK62" s="448">
        <f t="shared" ref="BK62" si="711">EOMONTH(BJ62,1)</f>
        <v>44469</v>
      </c>
      <c r="BL62" s="448">
        <f t="shared" ref="BL62" si="712">EOMONTH(BK62,1)</f>
        <v>44500</v>
      </c>
      <c r="BM62" s="448">
        <f t="shared" ref="BM62" si="713">EOMONTH(BL62,1)</f>
        <v>44530</v>
      </c>
      <c r="BN62" s="448">
        <f t="shared" ref="BN62" si="714">EOMONTH(BM62,1)</f>
        <v>44561</v>
      </c>
      <c r="BO62" s="448">
        <f t="shared" ref="BO62" si="715">EOMONTH(BN62,1)</f>
        <v>44592</v>
      </c>
      <c r="BP62" s="448">
        <f t="shared" ref="BP62" si="716">EOMONTH(BO62,1)</f>
        <v>44620</v>
      </c>
      <c r="BQ62" s="448">
        <f t="shared" ref="BQ62" si="717">EOMONTH(BP62,1)</f>
        <v>44651</v>
      </c>
      <c r="BR62" s="448">
        <f t="shared" ref="BR62" si="718">EOMONTH(BQ62,1)</f>
        <v>44681</v>
      </c>
      <c r="BS62" s="448">
        <f t="shared" ref="BS62" si="719">EOMONTH(BR62,1)</f>
        <v>44712</v>
      </c>
      <c r="BT62" s="448">
        <f t="shared" ref="BT62" si="720">EOMONTH(BS62,1)</f>
        <v>44742</v>
      </c>
      <c r="BU62" s="448">
        <f t="shared" ref="BU62" si="721">EOMONTH(BT62,1)</f>
        <v>44773</v>
      </c>
      <c r="BV62" s="448">
        <f t="shared" ref="BV62" si="722">EOMONTH(BU62,1)</f>
        <v>44804</v>
      </c>
      <c r="BW62" s="448">
        <f t="shared" ref="BW62" si="723">EOMONTH(BV62,1)</f>
        <v>44834</v>
      </c>
      <c r="BX62" s="448">
        <f t="shared" ref="BX62" si="724">EOMONTH(BW62,1)</f>
        <v>44865</v>
      </c>
      <c r="BY62" s="448">
        <f t="shared" ref="BY62" si="725">EOMONTH(BX62,1)</f>
        <v>44895</v>
      </c>
      <c r="BZ62" s="448">
        <f t="shared" ref="BZ62" si="726">EOMONTH(BY62,1)</f>
        <v>44926</v>
      </c>
      <c r="CA62" s="448">
        <f t="shared" ref="CA62" si="727">EOMONTH(BZ62,1)</f>
        <v>44957</v>
      </c>
      <c r="CB62" s="448">
        <f t="shared" ref="CB62" si="728">EOMONTH(CA62,1)</f>
        <v>44985</v>
      </c>
      <c r="CC62" s="448">
        <f t="shared" ref="CC62" si="729">EOMONTH(CB62,1)</f>
        <v>45016</v>
      </c>
      <c r="CD62" s="448">
        <f t="shared" ref="CD62" si="730">EOMONTH(CC62,1)</f>
        <v>45046</v>
      </c>
      <c r="CE62" s="448">
        <f t="shared" ref="CE62" si="731">EOMONTH(CD62,1)</f>
        <v>45077</v>
      </c>
      <c r="CF62" s="448">
        <f t="shared" ref="CF62" si="732">EOMONTH(CE62,1)</f>
        <v>45107</v>
      </c>
      <c r="CG62" s="448">
        <f t="shared" ref="CG62" si="733">EOMONTH(CF62,1)</f>
        <v>45138</v>
      </c>
      <c r="CH62" s="448">
        <f t="shared" ref="CH62" si="734">EOMONTH(CG62,1)</f>
        <v>45169</v>
      </c>
      <c r="CI62" s="448">
        <f t="shared" ref="CI62" si="735">EOMONTH(CH62,1)</f>
        <v>45199</v>
      </c>
      <c r="CJ62" s="448">
        <f t="shared" ref="CJ62" si="736">EOMONTH(CI62,1)</f>
        <v>45230</v>
      </c>
      <c r="CK62" s="448">
        <f t="shared" ref="CK62" si="737">EOMONTH(CJ62,1)</f>
        <v>45260</v>
      </c>
      <c r="CL62" s="448">
        <f t="shared" ref="CL62" si="738">EOMONTH(CK62,1)</f>
        <v>45291</v>
      </c>
      <c r="CM62" s="448">
        <f t="shared" ref="CM62" si="739">EOMONTH(CL62,1)</f>
        <v>45322</v>
      </c>
      <c r="CN62" s="448">
        <f t="shared" ref="CN62" si="740">EOMONTH(CM62,1)</f>
        <v>45351</v>
      </c>
      <c r="CO62" s="448">
        <f t="shared" ref="CO62" si="741">EOMONTH(CN62,1)</f>
        <v>45382</v>
      </c>
      <c r="CP62" s="448">
        <f t="shared" ref="CP62" si="742">EOMONTH(CO62,1)</f>
        <v>45412</v>
      </c>
      <c r="CQ62" s="448">
        <f t="shared" ref="CQ62" si="743">EOMONTH(CP62,1)</f>
        <v>45443</v>
      </c>
      <c r="CR62" s="448">
        <f t="shared" ref="CR62" si="744">EOMONTH(CQ62,1)</f>
        <v>45473</v>
      </c>
      <c r="CS62" s="448">
        <f t="shared" ref="CS62" si="745">EOMONTH(CR62,1)</f>
        <v>45504</v>
      </c>
      <c r="CT62" s="448">
        <f t="shared" ref="CT62" si="746">EOMONTH(CS62,1)</f>
        <v>45535</v>
      </c>
      <c r="CU62" s="448">
        <f t="shared" ref="CU62" si="747">EOMONTH(CT62,1)</f>
        <v>45565</v>
      </c>
      <c r="CV62" s="448">
        <f t="shared" ref="CV62" si="748">EOMONTH(CU62,1)</f>
        <v>45596</v>
      </c>
      <c r="CW62" s="448">
        <f t="shared" ref="CW62" si="749">EOMONTH(CV62,1)</f>
        <v>45626</v>
      </c>
      <c r="CX62" s="448">
        <f t="shared" ref="CX62" si="750">EOMONTH(CW62,1)</f>
        <v>45657</v>
      </c>
      <c r="CY62" s="448">
        <f t="shared" ref="CY62" si="751">EOMONTH(CX62,1)</f>
        <v>45688</v>
      </c>
      <c r="CZ62" s="448">
        <f t="shared" ref="CZ62" si="752">EOMONTH(CY62,1)</f>
        <v>45716</v>
      </c>
      <c r="DA62" s="448">
        <f t="shared" ref="DA62" si="753">EOMONTH(CZ62,1)</f>
        <v>45747</v>
      </c>
      <c r="DB62" s="448">
        <f t="shared" ref="DB62" si="754">EOMONTH(DA62,1)</f>
        <v>45777</v>
      </c>
      <c r="DC62" s="448">
        <f t="shared" ref="DC62" si="755">EOMONTH(DB62,1)</f>
        <v>45808</v>
      </c>
      <c r="DD62" s="448">
        <f t="shared" ref="DD62" si="756">EOMONTH(DC62,1)</f>
        <v>45838</v>
      </c>
      <c r="DE62" s="448">
        <f t="shared" ref="DE62" si="757">EOMONTH(DD62,1)</f>
        <v>45869</v>
      </c>
      <c r="DF62" s="448">
        <f t="shared" ref="DF62" si="758">EOMONTH(DE62,1)</f>
        <v>45900</v>
      </c>
      <c r="DG62" s="448">
        <f t="shared" ref="DG62" si="759">EOMONTH(DF62,1)</f>
        <v>45930</v>
      </c>
      <c r="DH62" s="448">
        <f t="shared" ref="DH62" si="760">EOMONTH(DG62,1)</f>
        <v>45961</v>
      </c>
      <c r="DI62" s="448">
        <f t="shared" ref="DI62" si="761">EOMONTH(DH62,1)</f>
        <v>45991</v>
      </c>
      <c r="DJ62" s="448">
        <f t="shared" ref="DJ62" si="762">EOMONTH(DI62,1)</f>
        <v>46022</v>
      </c>
      <c r="DK62" s="448">
        <f t="shared" ref="DK62" si="763">EOMONTH(DJ62,1)</f>
        <v>46053</v>
      </c>
      <c r="DL62" s="448">
        <f t="shared" ref="DL62" si="764">EOMONTH(DK62,1)</f>
        <v>46081</v>
      </c>
      <c r="DM62" s="448">
        <f t="shared" ref="DM62" si="765">EOMONTH(DL62,1)</f>
        <v>46112</v>
      </c>
      <c r="DN62" s="448">
        <f t="shared" ref="DN62" si="766">EOMONTH(DM62,1)</f>
        <v>46142</v>
      </c>
      <c r="DO62" s="448">
        <f t="shared" ref="DO62" si="767">EOMONTH(DN62,1)</f>
        <v>46173</v>
      </c>
      <c r="DP62" s="448">
        <f t="shared" ref="DP62" si="768">EOMONTH(DO62,1)</f>
        <v>46203</v>
      </c>
      <c r="DQ62" s="448">
        <f t="shared" ref="DQ62" si="769">EOMONTH(DP62,1)</f>
        <v>46234</v>
      </c>
      <c r="DR62" s="448">
        <f t="shared" ref="DR62" si="770">EOMONTH(DQ62,1)</f>
        <v>46265</v>
      </c>
      <c r="DS62" s="448">
        <f t="shared" ref="DS62" si="771">EOMONTH(DR62,1)</f>
        <v>46295</v>
      </c>
      <c r="DT62" s="448">
        <f t="shared" ref="DT62" si="772">EOMONTH(DS62,1)</f>
        <v>46326</v>
      </c>
      <c r="DU62" s="448">
        <f t="shared" ref="DU62" si="773">EOMONTH(DT62,1)</f>
        <v>46356</v>
      </c>
      <c r="DV62" s="448">
        <f t="shared" ref="DV62" si="774">EOMONTH(DU62,1)</f>
        <v>46387</v>
      </c>
      <c r="DW62" s="448">
        <f t="shared" ref="DW62" si="775">EOMONTH(DV62,1)</f>
        <v>46418</v>
      </c>
      <c r="DX62" s="448">
        <f t="shared" ref="DX62" si="776">EOMONTH(DW62,1)</f>
        <v>46446</v>
      </c>
      <c r="DY62" s="448">
        <f t="shared" ref="DY62" si="777">EOMONTH(DX62,1)</f>
        <v>46477</v>
      </c>
      <c r="DZ62" s="448">
        <f t="shared" ref="DZ62" si="778">EOMONTH(DY62,1)</f>
        <v>46507</v>
      </c>
      <c r="EA62" s="448">
        <f t="shared" ref="EA62" si="779">EOMONTH(DZ62,1)</f>
        <v>46538</v>
      </c>
      <c r="EB62" s="448">
        <f t="shared" ref="EB62" si="780">EOMONTH(EA62,1)</f>
        <v>46568</v>
      </c>
      <c r="EC62" s="448">
        <f t="shared" ref="EC62" si="781">EOMONTH(EB62,1)</f>
        <v>46599</v>
      </c>
      <c r="ED62" s="448">
        <f t="shared" ref="ED62" si="782">EOMONTH(EC62,1)</f>
        <v>46630</v>
      </c>
      <c r="EE62" s="448">
        <f t="shared" ref="EE62" si="783">EOMONTH(ED62,1)</f>
        <v>46660</v>
      </c>
      <c r="EF62" s="448">
        <f t="shared" ref="EF62" si="784">EOMONTH(EE62,1)</f>
        <v>46691</v>
      </c>
      <c r="EG62" s="448">
        <f t="shared" ref="EG62" si="785">EOMONTH(EF62,1)</f>
        <v>46721</v>
      </c>
      <c r="EH62" s="448">
        <f t="shared" ref="EH62" si="786">EOMONTH(EG62,1)</f>
        <v>46752</v>
      </c>
      <c r="EI62" s="448">
        <f t="shared" ref="EI62" si="787">EOMONTH(EH62,1)</f>
        <v>46783</v>
      </c>
      <c r="EJ62" s="448">
        <f t="shared" ref="EJ62" si="788">EOMONTH(EI62,1)</f>
        <v>46812</v>
      </c>
      <c r="EK62" s="448">
        <f t="shared" ref="EK62" si="789">EOMONTH(EJ62,1)</f>
        <v>46843</v>
      </c>
      <c r="EL62" s="448">
        <f t="shared" ref="EL62" si="790">EOMONTH(EK62,1)</f>
        <v>46873</v>
      </c>
      <c r="EM62" s="448">
        <f t="shared" ref="EM62" si="791">EOMONTH(EL62,1)</f>
        <v>46904</v>
      </c>
      <c r="EN62" s="448">
        <f t="shared" ref="EN62" si="792">EOMONTH(EM62,1)</f>
        <v>46934</v>
      </c>
      <c r="EO62" s="448">
        <f t="shared" ref="EO62" si="793">EOMONTH(EN62,1)</f>
        <v>46965</v>
      </c>
      <c r="EP62" s="448">
        <f t="shared" ref="EP62" si="794">EOMONTH(EO62,1)</f>
        <v>46996</v>
      </c>
      <c r="EQ62" s="448">
        <f t="shared" ref="EQ62" si="795">EOMONTH(EP62,1)</f>
        <v>47026</v>
      </c>
      <c r="ER62" s="448">
        <f t="shared" ref="ER62" si="796">EOMONTH(EQ62,1)</f>
        <v>47057</v>
      </c>
      <c r="ES62" s="448">
        <f t="shared" ref="ES62" si="797">EOMONTH(ER62,1)</f>
        <v>47087</v>
      </c>
      <c r="ET62" s="448">
        <f t="shared" ref="ET62" si="798">EOMONTH(ES62,1)</f>
        <v>47118</v>
      </c>
    </row>
    <row r="63" spans="3:150" outlineLevel="1">
      <c r="C63" s="142"/>
      <c r="D63" s="48"/>
      <c r="E63" s="160"/>
      <c r="F63" s="137"/>
      <c r="G63" s="48"/>
      <c r="H63" s="48"/>
      <c r="I63" s="48"/>
      <c r="J63" s="48"/>
      <c r="K63" s="48"/>
      <c r="L63" s="48"/>
      <c r="M63" s="48"/>
      <c r="N63" s="48"/>
      <c r="O63" s="48"/>
      <c r="P63" s="48"/>
      <c r="Q63" s="48"/>
      <c r="R63" s="139"/>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136"/>
      <c r="DV63" s="136"/>
      <c r="DW63" s="136"/>
      <c r="DX63" s="136"/>
      <c r="DY63" s="136"/>
      <c r="DZ63" s="136"/>
      <c r="EA63" s="136"/>
      <c r="EB63" s="136"/>
      <c r="EC63" s="136"/>
      <c r="ED63" s="136"/>
      <c r="EE63" s="136"/>
      <c r="EF63" s="136"/>
      <c r="EG63" s="136"/>
      <c r="EH63" s="136"/>
      <c r="EI63" s="136"/>
      <c r="EJ63" s="136"/>
      <c r="EK63" s="136"/>
      <c r="EL63" s="136"/>
      <c r="EM63" s="136"/>
      <c r="EN63" s="136"/>
      <c r="EO63" s="136"/>
      <c r="EP63" s="136"/>
      <c r="EQ63" s="136"/>
      <c r="ER63" s="136"/>
      <c r="ES63" s="136"/>
      <c r="ET63" s="136"/>
    </row>
    <row r="64" spans="3:150" outlineLevel="1">
      <c r="C64" s="161"/>
      <c r="D64" s="48"/>
      <c r="E64" s="160"/>
      <c r="F64" s="137"/>
      <c r="G64" s="48"/>
      <c r="H64" s="48"/>
      <c r="I64" s="138"/>
      <c r="J64" s="48"/>
      <c r="K64" s="48"/>
      <c r="L64" s="138"/>
      <c r="M64" s="48"/>
      <c r="N64" s="48"/>
      <c r="O64" s="138"/>
      <c r="P64" s="48"/>
      <c r="Q64" s="48"/>
      <c r="R64" s="137"/>
      <c r="S64" s="139"/>
      <c r="T64" s="139"/>
      <c r="U64" s="139"/>
      <c r="V64" s="139"/>
      <c r="W64" s="139"/>
      <c r="X64" s="139"/>
      <c r="Y64" s="139"/>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39"/>
      <c r="BR64" s="139"/>
      <c r="BS64" s="139"/>
      <c r="BT64" s="139"/>
      <c r="BU64" s="139"/>
      <c r="BV64" s="139"/>
      <c r="BW64" s="139"/>
      <c r="BX64" s="139"/>
      <c r="BY64" s="139"/>
      <c r="BZ64" s="139"/>
      <c r="CA64" s="139"/>
      <c r="CB64" s="139"/>
      <c r="CC64" s="139"/>
      <c r="CD64" s="139"/>
      <c r="CE64" s="139"/>
      <c r="CF64" s="139"/>
      <c r="CG64" s="139"/>
      <c r="CH64" s="139"/>
      <c r="CI64" s="139"/>
      <c r="CJ64" s="139"/>
      <c r="CK64" s="139"/>
      <c r="CL64" s="139"/>
      <c r="CM64" s="139"/>
      <c r="CN64" s="139"/>
      <c r="CO64" s="139"/>
      <c r="CP64" s="139"/>
      <c r="CQ64" s="139"/>
      <c r="CR64" s="139"/>
      <c r="CS64" s="139"/>
      <c r="CT64" s="139"/>
      <c r="CU64" s="139"/>
      <c r="CV64" s="139"/>
      <c r="CW64" s="139"/>
      <c r="CX64" s="139"/>
      <c r="CY64" s="139"/>
      <c r="CZ64" s="139"/>
      <c r="DA64" s="139"/>
      <c r="DB64" s="139"/>
      <c r="DC64" s="139"/>
      <c r="DD64" s="139"/>
      <c r="DE64" s="139"/>
      <c r="DF64" s="139"/>
      <c r="DG64" s="139"/>
      <c r="DH64" s="139"/>
      <c r="DI64" s="139"/>
      <c r="DJ64" s="139"/>
      <c r="DK64" s="139"/>
      <c r="DL64" s="139"/>
      <c r="DM64" s="139"/>
      <c r="DN64" s="139"/>
      <c r="DO64" s="139"/>
      <c r="DP64" s="139"/>
      <c r="DQ64" s="139"/>
      <c r="DR64" s="139"/>
      <c r="DS64" s="139"/>
      <c r="DT64" s="139"/>
      <c r="DU64" s="139"/>
      <c r="DV64" s="139"/>
      <c r="DW64" s="139"/>
      <c r="DX64" s="139"/>
      <c r="DY64" s="139"/>
      <c r="DZ64" s="139"/>
      <c r="EA64" s="139"/>
      <c r="EB64" s="139"/>
      <c r="EC64" s="139"/>
      <c r="ED64" s="139"/>
      <c r="EE64" s="139"/>
      <c r="EF64" s="139"/>
      <c r="EG64" s="139"/>
      <c r="EH64" s="139"/>
      <c r="EI64" s="139"/>
      <c r="EJ64" s="139"/>
      <c r="EK64" s="139"/>
      <c r="EL64" s="139"/>
      <c r="EM64" s="139"/>
      <c r="EN64" s="139"/>
      <c r="EO64" s="139"/>
      <c r="EP64" s="139"/>
      <c r="EQ64" s="139"/>
      <c r="ER64" s="139"/>
      <c r="ES64" s="139"/>
      <c r="ET64" s="139"/>
    </row>
    <row r="65" spans="3:150" outlineLevel="1">
      <c r="C65" s="161"/>
      <c r="D65" s="48"/>
      <c r="E65" s="160"/>
      <c r="F65" s="137"/>
      <c r="G65" s="48"/>
      <c r="H65" s="48"/>
      <c r="I65" s="138"/>
      <c r="J65" s="48"/>
      <c r="K65" s="48"/>
      <c r="L65" s="138"/>
      <c r="M65" s="138"/>
      <c r="N65" s="138"/>
      <c r="O65" s="138"/>
      <c r="P65" s="48"/>
      <c r="Q65" s="48"/>
      <c r="R65" s="137"/>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139"/>
      <c r="CC65" s="139"/>
      <c r="CD65" s="139"/>
      <c r="CE65" s="139"/>
      <c r="CF65" s="139"/>
      <c r="CG65" s="139"/>
      <c r="CH65" s="139"/>
      <c r="CI65" s="139"/>
      <c r="CJ65" s="139"/>
      <c r="CK65" s="139"/>
      <c r="CL65" s="139"/>
      <c r="CM65" s="139"/>
      <c r="CN65" s="139"/>
      <c r="CO65" s="139"/>
      <c r="CP65" s="139"/>
      <c r="CQ65" s="139"/>
      <c r="CR65" s="139"/>
      <c r="CS65" s="139"/>
      <c r="CT65" s="139"/>
      <c r="CU65" s="139"/>
      <c r="CV65" s="139"/>
      <c r="CW65" s="139"/>
      <c r="CX65" s="139"/>
      <c r="CY65" s="139"/>
      <c r="CZ65" s="139"/>
      <c r="DA65" s="139"/>
      <c r="DB65" s="139"/>
      <c r="DC65" s="139"/>
      <c r="DD65" s="139"/>
      <c r="DE65" s="139"/>
      <c r="DF65" s="139"/>
      <c r="DG65" s="139"/>
      <c r="DH65" s="139"/>
      <c r="DI65" s="139"/>
      <c r="DJ65" s="139"/>
      <c r="DK65" s="139"/>
      <c r="DL65" s="139"/>
      <c r="DM65" s="139"/>
      <c r="DN65" s="139"/>
      <c r="DO65" s="139"/>
      <c r="DP65" s="139"/>
      <c r="DQ65" s="139"/>
      <c r="DR65" s="139"/>
      <c r="DS65" s="139"/>
      <c r="DT65" s="139"/>
      <c r="DU65" s="139"/>
      <c r="DV65" s="139"/>
      <c r="DW65" s="139"/>
      <c r="DX65" s="139"/>
      <c r="DY65" s="139"/>
      <c r="DZ65" s="139"/>
      <c r="EA65" s="139"/>
      <c r="EB65" s="139"/>
      <c r="EC65" s="139"/>
      <c r="ED65" s="139"/>
      <c r="EE65" s="139"/>
      <c r="EF65" s="139"/>
      <c r="EG65" s="139"/>
      <c r="EH65" s="139"/>
      <c r="EI65" s="139"/>
      <c r="EJ65" s="139"/>
      <c r="EK65" s="139"/>
      <c r="EL65" s="139"/>
      <c r="EM65" s="139"/>
      <c r="EN65" s="139"/>
      <c r="EO65" s="139"/>
      <c r="EP65" s="139"/>
      <c r="EQ65" s="139"/>
      <c r="ER65" s="139"/>
      <c r="ES65" s="139"/>
      <c r="ET65" s="139"/>
    </row>
    <row r="66" spans="3:150" outlineLevel="1">
      <c r="C66" s="161"/>
      <c r="D66" s="48"/>
      <c r="E66" s="160"/>
      <c r="F66" s="137"/>
      <c r="G66" s="137"/>
      <c r="H66" s="137"/>
      <c r="I66" s="137"/>
      <c r="J66" s="137"/>
      <c r="K66" s="137"/>
      <c r="L66" s="137"/>
      <c r="M66" s="137"/>
      <c r="N66" s="137"/>
      <c r="O66" s="137"/>
      <c r="P66" s="137"/>
      <c r="Q66" s="137"/>
      <c r="R66" s="137"/>
      <c r="S66" s="137"/>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row>
    <row r="67" spans="3:150" outlineLevel="1">
      <c r="C67" s="161"/>
      <c r="D67" s="48"/>
      <c r="E67" s="160"/>
      <c r="F67" s="137"/>
      <c r="G67" s="137"/>
      <c r="H67" s="137"/>
      <c r="I67" s="137"/>
      <c r="J67" s="137"/>
      <c r="K67" s="137"/>
      <c r="L67" s="137"/>
      <c r="M67" s="137"/>
      <c r="N67" s="137"/>
      <c r="O67" s="137"/>
      <c r="P67" s="137"/>
      <c r="Q67" s="137"/>
      <c r="R67" s="137"/>
      <c r="S67" s="137"/>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row>
    <row r="68" spans="3:150" outlineLevel="1">
      <c r="C68" s="161"/>
      <c r="D68" s="48"/>
      <c r="E68" s="160"/>
      <c r="F68" s="142"/>
      <c r="G68" s="137"/>
      <c r="H68" s="137"/>
      <c r="I68" s="137"/>
      <c r="J68" s="137"/>
      <c r="K68" s="137"/>
      <c r="L68" s="137"/>
      <c r="M68" s="137"/>
      <c r="N68" s="137"/>
      <c r="O68" s="137"/>
      <c r="P68" s="137"/>
      <c r="Q68" s="137"/>
      <c r="R68" s="137"/>
      <c r="S68" s="137"/>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row>
    <row r="69" spans="3:150" outlineLevel="1">
      <c r="C69" s="161"/>
      <c r="D69" s="48"/>
      <c r="E69" s="160"/>
      <c r="F69" s="142"/>
      <c r="G69" s="137"/>
      <c r="H69" s="137"/>
      <c r="I69" s="137"/>
      <c r="J69" s="137"/>
      <c r="K69" s="137"/>
      <c r="L69" s="137"/>
      <c r="M69" s="137"/>
      <c r="N69" s="137"/>
      <c r="O69" s="137"/>
      <c r="P69" s="137"/>
      <c r="Q69" s="137"/>
      <c r="R69" s="137"/>
      <c r="S69" s="137"/>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row>
    <row r="70" spans="3:150" outlineLevel="1">
      <c r="C70" s="289"/>
      <c r="D70" s="290"/>
      <c r="E70" s="291"/>
      <c r="F70" s="292"/>
      <c r="G70" s="275"/>
      <c r="H70" s="275"/>
      <c r="I70" s="275"/>
      <c r="J70" s="275"/>
      <c r="K70" s="275"/>
      <c r="L70" s="275"/>
      <c r="M70" s="275"/>
      <c r="N70" s="275"/>
      <c r="O70" s="275"/>
      <c r="P70" s="275"/>
      <c r="Q70" s="275"/>
      <c r="R70" s="275"/>
      <c r="S70" s="275"/>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293"/>
      <c r="AR70" s="293"/>
      <c r="AS70" s="293"/>
      <c r="AT70" s="293"/>
      <c r="AU70" s="293"/>
      <c r="AV70" s="293"/>
      <c r="AW70" s="293"/>
      <c r="AX70" s="293"/>
      <c r="AY70" s="293"/>
      <c r="AZ70" s="293"/>
      <c r="BA70" s="293"/>
      <c r="BB70" s="293"/>
      <c r="BC70" s="293"/>
      <c r="BD70" s="293"/>
      <c r="BE70" s="293"/>
      <c r="BF70" s="293"/>
      <c r="BG70" s="293"/>
      <c r="BH70" s="293"/>
      <c r="BI70" s="293"/>
      <c r="BJ70" s="293"/>
      <c r="BK70" s="293"/>
      <c r="BL70" s="293"/>
      <c r="BM70" s="293"/>
      <c r="BN70" s="293"/>
      <c r="BO70" s="293"/>
      <c r="BP70" s="293"/>
      <c r="BQ70" s="293"/>
      <c r="BR70" s="293"/>
      <c r="BS70" s="293"/>
      <c r="BT70" s="293"/>
      <c r="BU70" s="293"/>
      <c r="BV70" s="293"/>
      <c r="BW70" s="293"/>
      <c r="BX70" s="293"/>
      <c r="BY70" s="293"/>
      <c r="BZ70" s="293"/>
      <c r="CA70" s="293"/>
      <c r="CB70" s="293"/>
      <c r="CC70" s="293"/>
      <c r="CD70" s="293"/>
      <c r="CE70" s="293"/>
      <c r="CF70" s="293"/>
      <c r="CG70" s="293"/>
      <c r="CH70" s="293"/>
      <c r="CI70" s="293"/>
      <c r="CJ70" s="293"/>
      <c r="CK70" s="293"/>
      <c r="CL70" s="293"/>
      <c r="CM70" s="293"/>
      <c r="CN70" s="293"/>
      <c r="CO70" s="293"/>
      <c r="CP70" s="293"/>
      <c r="CQ70" s="293"/>
      <c r="CR70" s="293"/>
      <c r="CS70" s="293"/>
      <c r="CT70" s="293"/>
      <c r="CU70" s="293"/>
      <c r="CV70" s="293"/>
      <c r="CW70" s="293"/>
      <c r="CX70" s="293"/>
      <c r="CY70" s="293"/>
      <c r="CZ70" s="293"/>
      <c r="DA70" s="293"/>
      <c r="DB70" s="293"/>
      <c r="DC70" s="293"/>
      <c r="DD70" s="293"/>
      <c r="DE70" s="293"/>
      <c r="DF70" s="293"/>
      <c r="DG70" s="293"/>
      <c r="DH70" s="293"/>
      <c r="DI70" s="293"/>
      <c r="DJ70" s="293"/>
      <c r="DK70" s="293"/>
      <c r="DL70" s="293"/>
      <c r="DM70" s="293"/>
      <c r="DN70" s="293"/>
      <c r="DO70" s="293"/>
      <c r="DP70" s="293"/>
      <c r="DQ70" s="293"/>
      <c r="DR70" s="293"/>
      <c r="DS70" s="293"/>
      <c r="DT70" s="293"/>
      <c r="DU70" s="293"/>
      <c r="DV70" s="293"/>
      <c r="DW70" s="293"/>
      <c r="DX70" s="293"/>
      <c r="DY70" s="293"/>
      <c r="DZ70" s="293"/>
      <c r="EA70" s="293"/>
      <c r="EB70" s="293"/>
      <c r="EC70" s="293"/>
      <c r="ED70" s="293"/>
      <c r="EE70" s="293"/>
      <c r="EF70" s="293"/>
      <c r="EG70" s="293"/>
      <c r="EH70" s="293"/>
      <c r="EI70" s="293"/>
      <c r="EJ70" s="293"/>
      <c r="EK70" s="293"/>
      <c r="EL70" s="293"/>
      <c r="EM70" s="293"/>
      <c r="EN70" s="293"/>
      <c r="EO70" s="293"/>
      <c r="EP70" s="293"/>
      <c r="EQ70" s="293"/>
      <c r="ER70" s="293"/>
      <c r="ES70" s="293"/>
      <c r="ET70" s="293"/>
    </row>
    <row r="71" spans="3:150" outlineLevel="1">
      <c r="C71" s="442" t="str">
        <f>"Guarantor - "&amp;E38&amp;" Tracking Items"</f>
        <v>Guarantor - n/a Tracking Items</v>
      </c>
      <c r="D71" s="441"/>
      <c r="E71" s="441"/>
      <c r="F71" s="441"/>
      <c r="G71" s="441"/>
      <c r="H71" s="441"/>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441"/>
      <c r="AK71" s="441"/>
      <c r="AL71" s="441"/>
      <c r="AM71" s="441"/>
      <c r="AN71" s="441"/>
      <c r="AO71" s="441"/>
      <c r="AP71" s="441"/>
      <c r="AQ71" s="441"/>
      <c r="AR71" s="441"/>
      <c r="AS71" s="441"/>
      <c r="AT71" s="441"/>
      <c r="AU71" s="441"/>
      <c r="AV71" s="441"/>
      <c r="AW71" s="441"/>
      <c r="AX71" s="441"/>
      <c r="AY71" s="441"/>
      <c r="AZ71" s="441"/>
      <c r="BA71" s="441"/>
      <c r="BB71" s="441"/>
      <c r="BC71" s="441"/>
      <c r="BD71" s="441"/>
      <c r="BE71" s="441"/>
      <c r="BF71" s="441"/>
      <c r="BG71" s="441"/>
      <c r="BH71" s="441"/>
      <c r="BI71" s="441"/>
      <c r="BJ71" s="441"/>
      <c r="BK71" s="441"/>
      <c r="BL71" s="441"/>
      <c r="BM71" s="441"/>
      <c r="BN71" s="441"/>
      <c r="BO71" s="441"/>
      <c r="BP71" s="441"/>
      <c r="BQ71" s="441"/>
      <c r="BR71" s="441"/>
      <c r="BS71" s="441"/>
      <c r="BT71" s="441"/>
      <c r="BU71" s="441"/>
      <c r="BV71" s="441"/>
      <c r="BW71" s="441"/>
      <c r="BX71" s="441"/>
      <c r="BY71" s="441"/>
      <c r="BZ71" s="441"/>
      <c r="CA71" s="441"/>
      <c r="CB71" s="441"/>
      <c r="CC71" s="441"/>
      <c r="CD71" s="441"/>
      <c r="CE71" s="441"/>
      <c r="CF71" s="441"/>
      <c r="CG71" s="441"/>
      <c r="CH71" s="441"/>
      <c r="CI71" s="441"/>
      <c r="CJ71" s="441"/>
      <c r="CK71" s="441"/>
      <c r="CL71" s="441"/>
      <c r="CM71" s="441"/>
      <c r="CN71" s="441"/>
      <c r="CO71" s="441"/>
      <c r="CP71" s="441"/>
      <c r="CQ71" s="441"/>
      <c r="CR71" s="441"/>
      <c r="CS71" s="441"/>
      <c r="CT71" s="441"/>
      <c r="CU71" s="441"/>
      <c r="CV71" s="441"/>
      <c r="CW71" s="441"/>
      <c r="CX71" s="441"/>
      <c r="CY71" s="441"/>
      <c r="CZ71" s="441"/>
      <c r="DA71" s="441"/>
      <c r="DB71" s="441"/>
      <c r="DC71" s="441"/>
      <c r="DD71" s="441"/>
      <c r="DE71" s="441"/>
      <c r="DF71" s="441"/>
      <c r="DG71" s="441"/>
      <c r="DH71" s="441"/>
      <c r="DI71" s="441"/>
      <c r="DJ71" s="441"/>
      <c r="DK71" s="441"/>
      <c r="DL71" s="441"/>
      <c r="DM71" s="441"/>
      <c r="DN71" s="441"/>
      <c r="DO71" s="441"/>
      <c r="DP71" s="441"/>
      <c r="DQ71" s="441"/>
      <c r="DR71" s="441"/>
      <c r="DS71" s="441"/>
      <c r="DT71" s="441"/>
      <c r="DU71" s="441"/>
      <c r="DV71" s="441"/>
      <c r="DW71" s="441"/>
      <c r="DX71" s="441"/>
      <c r="DY71" s="441"/>
      <c r="DZ71" s="441"/>
      <c r="EA71" s="441"/>
      <c r="EB71" s="441"/>
      <c r="EC71" s="441"/>
      <c r="ED71" s="441"/>
      <c r="EE71" s="441"/>
      <c r="EF71" s="441"/>
      <c r="EG71" s="441"/>
      <c r="EH71" s="441"/>
      <c r="EI71" s="441"/>
      <c r="EJ71" s="441"/>
      <c r="EK71" s="441"/>
      <c r="EL71" s="441"/>
      <c r="EM71" s="441"/>
      <c r="EN71" s="441"/>
      <c r="EO71" s="441"/>
      <c r="EP71" s="441"/>
      <c r="EQ71" s="441"/>
      <c r="ER71" s="441"/>
      <c r="ES71" s="441"/>
      <c r="ET71" s="441"/>
    </row>
    <row r="72" spans="3:150" outlineLevel="1">
      <c r="C72" s="444" t="s">
        <v>72</v>
      </c>
      <c r="D72" s="443" t="s">
        <v>103</v>
      </c>
      <c r="E72" s="445" t="s">
        <v>104</v>
      </c>
      <c r="F72" s="447">
        <f>$F$8</f>
        <v>42735</v>
      </c>
      <c r="G72" s="447">
        <f>EOMONTH(F72,1)</f>
        <v>42766</v>
      </c>
      <c r="H72" s="448">
        <f t="shared" ref="H72" si="799">EOMONTH(G72,1)</f>
        <v>42794</v>
      </c>
      <c r="I72" s="449">
        <f t="shared" ref="I72" si="800">EOMONTH(H72,1)</f>
        <v>42825</v>
      </c>
      <c r="J72" s="450">
        <f t="shared" ref="J72" si="801">EOMONTH(I72,1)</f>
        <v>42855</v>
      </c>
      <c r="K72" s="450">
        <f t="shared" ref="K72" si="802">EOMONTH(J72,1)</f>
        <v>42886</v>
      </c>
      <c r="L72" s="450">
        <f t="shared" ref="L72" si="803">EOMONTH(K72,1)</f>
        <v>42916</v>
      </c>
      <c r="M72" s="448">
        <f t="shared" ref="M72" si="804">EOMONTH(L72,1)</f>
        <v>42947</v>
      </c>
      <c r="N72" s="449">
        <f t="shared" ref="N72" si="805">EOMONTH(M72,1)</f>
        <v>42978</v>
      </c>
      <c r="O72" s="450">
        <f t="shared" ref="O72" si="806">EOMONTH(N72,1)</f>
        <v>43008</v>
      </c>
      <c r="P72" s="450">
        <f t="shared" ref="P72" si="807">EOMONTH(O72,1)</f>
        <v>43039</v>
      </c>
      <c r="Q72" s="450">
        <f t="shared" ref="Q72" si="808">EOMONTH(P72,1)</f>
        <v>43069</v>
      </c>
      <c r="R72" s="450">
        <f t="shared" ref="R72" si="809">EOMONTH(Q72,1)</f>
        <v>43100</v>
      </c>
      <c r="S72" s="450">
        <f t="shared" ref="S72" si="810">EOMONTH(R72,1)</f>
        <v>43131</v>
      </c>
      <c r="T72" s="448">
        <f t="shared" ref="T72" si="811">EOMONTH(S72,1)</f>
        <v>43159</v>
      </c>
      <c r="U72" s="449">
        <f t="shared" ref="U72" si="812">EOMONTH(T72,1)</f>
        <v>43190</v>
      </c>
      <c r="V72" s="448">
        <f t="shared" ref="V72" si="813">EOMONTH(U72,1)</f>
        <v>43220</v>
      </c>
      <c r="W72" s="449">
        <f t="shared" ref="W72" si="814">EOMONTH(V72,1)</f>
        <v>43251</v>
      </c>
      <c r="X72" s="448">
        <f t="shared" ref="X72" si="815">EOMONTH(W72,1)</f>
        <v>43281</v>
      </c>
      <c r="Y72" s="448">
        <f t="shared" ref="Y72" si="816">EOMONTH(X72,1)</f>
        <v>43312</v>
      </c>
      <c r="Z72" s="449">
        <f t="shared" ref="Z72" si="817">EOMONTH(Y72,1)</f>
        <v>43343</v>
      </c>
      <c r="AA72" s="448">
        <f t="shared" ref="AA72" si="818">EOMONTH(Z72,1)</f>
        <v>43373</v>
      </c>
      <c r="AB72" s="449">
        <f t="shared" ref="AB72" si="819">EOMONTH(AA72,1)</f>
        <v>43404</v>
      </c>
      <c r="AC72" s="448">
        <f t="shared" ref="AC72" si="820">EOMONTH(AB72,1)</f>
        <v>43434</v>
      </c>
      <c r="AD72" s="449">
        <f t="shared" ref="AD72" si="821">EOMONTH(AC72,1)</f>
        <v>43465</v>
      </c>
      <c r="AE72" s="448">
        <f>EOMONTH(AD72,1)</f>
        <v>43496</v>
      </c>
      <c r="AF72" s="448">
        <f t="shared" ref="AF72:AP72" si="822">EOMONTH(AE72,1)</f>
        <v>43524</v>
      </c>
      <c r="AG72" s="448">
        <f t="shared" si="822"/>
        <v>43555</v>
      </c>
      <c r="AH72" s="448">
        <f t="shared" si="822"/>
        <v>43585</v>
      </c>
      <c r="AI72" s="448">
        <f t="shared" si="822"/>
        <v>43616</v>
      </c>
      <c r="AJ72" s="448">
        <f t="shared" si="822"/>
        <v>43646</v>
      </c>
      <c r="AK72" s="448">
        <f t="shared" si="822"/>
        <v>43677</v>
      </c>
      <c r="AL72" s="448">
        <f t="shared" si="822"/>
        <v>43708</v>
      </c>
      <c r="AM72" s="448">
        <f t="shared" si="822"/>
        <v>43738</v>
      </c>
      <c r="AN72" s="448">
        <f t="shared" si="822"/>
        <v>43769</v>
      </c>
      <c r="AO72" s="448">
        <f t="shared" si="822"/>
        <v>43799</v>
      </c>
      <c r="AP72" s="448">
        <f t="shared" si="822"/>
        <v>43830</v>
      </c>
      <c r="AQ72" s="448">
        <f t="shared" ref="AQ72" si="823">EOMONTH(AP72,1)</f>
        <v>43861</v>
      </c>
      <c r="AR72" s="448">
        <f t="shared" ref="AR72" si="824">EOMONTH(AQ72,1)</f>
        <v>43890</v>
      </c>
      <c r="AS72" s="448">
        <f t="shared" ref="AS72" si="825">EOMONTH(AR72,1)</f>
        <v>43921</v>
      </c>
      <c r="AT72" s="448">
        <f t="shared" ref="AT72" si="826">EOMONTH(AS72,1)</f>
        <v>43951</v>
      </c>
      <c r="AU72" s="448">
        <f t="shared" ref="AU72" si="827">EOMONTH(AT72,1)</f>
        <v>43982</v>
      </c>
      <c r="AV72" s="448">
        <f t="shared" ref="AV72" si="828">EOMONTH(AU72,1)</f>
        <v>44012</v>
      </c>
      <c r="AW72" s="448">
        <f t="shared" ref="AW72" si="829">EOMONTH(AV72,1)</f>
        <v>44043</v>
      </c>
      <c r="AX72" s="448">
        <f t="shared" ref="AX72" si="830">EOMONTH(AW72,1)</f>
        <v>44074</v>
      </c>
      <c r="AY72" s="448">
        <f t="shared" ref="AY72" si="831">EOMONTH(AX72,1)</f>
        <v>44104</v>
      </c>
      <c r="AZ72" s="448">
        <f t="shared" ref="AZ72" si="832">EOMONTH(AY72,1)</f>
        <v>44135</v>
      </c>
      <c r="BA72" s="448">
        <f t="shared" ref="BA72" si="833">EOMONTH(AZ72,1)</f>
        <v>44165</v>
      </c>
      <c r="BB72" s="448">
        <f t="shared" ref="BB72" si="834">EOMONTH(BA72,1)</f>
        <v>44196</v>
      </c>
      <c r="BC72" s="448">
        <f t="shared" ref="BC72" si="835">EOMONTH(BB72,1)</f>
        <v>44227</v>
      </c>
      <c r="BD72" s="448">
        <f t="shared" ref="BD72" si="836">EOMONTH(BC72,1)</f>
        <v>44255</v>
      </c>
      <c r="BE72" s="448">
        <f t="shared" ref="BE72" si="837">EOMONTH(BD72,1)</f>
        <v>44286</v>
      </c>
      <c r="BF72" s="448">
        <f t="shared" ref="BF72" si="838">EOMONTH(BE72,1)</f>
        <v>44316</v>
      </c>
      <c r="BG72" s="448">
        <f t="shared" ref="BG72" si="839">EOMONTH(BF72,1)</f>
        <v>44347</v>
      </c>
      <c r="BH72" s="448">
        <f t="shared" ref="BH72" si="840">EOMONTH(BG72,1)</f>
        <v>44377</v>
      </c>
      <c r="BI72" s="448">
        <f t="shared" ref="BI72" si="841">EOMONTH(BH72,1)</f>
        <v>44408</v>
      </c>
      <c r="BJ72" s="448">
        <f t="shared" ref="BJ72" si="842">EOMONTH(BI72,1)</f>
        <v>44439</v>
      </c>
      <c r="BK72" s="448">
        <f t="shared" ref="BK72" si="843">EOMONTH(BJ72,1)</f>
        <v>44469</v>
      </c>
      <c r="BL72" s="448">
        <f t="shared" ref="BL72" si="844">EOMONTH(BK72,1)</f>
        <v>44500</v>
      </c>
      <c r="BM72" s="448">
        <f t="shared" ref="BM72" si="845">EOMONTH(BL72,1)</f>
        <v>44530</v>
      </c>
      <c r="BN72" s="448">
        <f t="shared" ref="BN72" si="846">EOMONTH(BM72,1)</f>
        <v>44561</v>
      </c>
      <c r="BO72" s="448">
        <f t="shared" ref="BO72" si="847">EOMONTH(BN72,1)</f>
        <v>44592</v>
      </c>
      <c r="BP72" s="448">
        <f t="shared" ref="BP72" si="848">EOMONTH(BO72,1)</f>
        <v>44620</v>
      </c>
      <c r="BQ72" s="448">
        <f t="shared" ref="BQ72" si="849">EOMONTH(BP72,1)</f>
        <v>44651</v>
      </c>
      <c r="BR72" s="448">
        <f t="shared" ref="BR72" si="850">EOMONTH(BQ72,1)</f>
        <v>44681</v>
      </c>
      <c r="BS72" s="448">
        <f t="shared" ref="BS72" si="851">EOMONTH(BR72,1)</f>
        <v>44712</v>
      </c>
      <c r="BT72" s="448">
        <f t="shared" ref="BT72" si="852">EOMONTH(BS72,1)</f>
        <v>44742</v>
      </c>
      <c r="BU72" s="448">
        <f t="shared" ref="BU72" si="853">EOMONTH(BT72,1)</f>
        <v>44773</v>
      </c>
      <c r="BV72" s="448">
        <f t="shared" ref="BV72" si="854">EOMONTH(BU72,1)</f>
        <v>44804</v>
      </c>
      <c r="BW72" s="448">
        <f t="shared" ref="BW72" si="855">EOMONTH(BV72,1)</f>
        <v>44834</v>
      </c>
      <c r="BX72" s="448">
        <f t="shared" ref="BX72" si="856">EOMONTH(BW72,1)</f>
        <v>44865</v>
      </c>
      <c r="BY72" s="448">
        <f t="shared" ref="BY72" si="857">EOMONTH(BX72,1)</f>
        <v>44895</v>
      </c>
      <c r="BZ72" s="448">
        <f t="shared" ref="BZ72" si="858">EOMONTH(BY72,1)</f>
        <v>44926</v>
      </c>
      <c r="CA72" s="448">
        <f t="shared" ref="CA72" si="859">EOMONTH(BZ72,1)</f>
        <v>44957</v>
      </c>
      <c r="CB72" s="448">
        <f t="shared" ref="CB72" si="860">EOMONTH(CA72,1)</f>
        <v>44985</v>
      </c>
      <c r="CC72" s="448">
        <f t="shared" ref="CC72" si="861">EOMONTH(CB72,1)</f>
        <v>45016</v>
      </c>
      <c r="CD72" s="448">
        <f t="shared" ref="CD72" si="862">EOMONTH(CC72,1)</f>
        <v>45046</v>
      </c>
      <c r="CE72" s="448">
        <f t="shared" ref="CE72" si="863">EOMONTH(CD72,1)</f>
        <v>45077</v>
      </c>
      <c r="CF72" s="448">
        <f t="shared" ref="CF72" si="864">EOMONTH(CE72,1)</f>
        <v>45107</v>
      </c>
      <c r="CG72" s="448">
        <f t="shared" ref="CG72" si="865">EOMONTH(CF72,1)</f>
        <v>45138</v>
      </c>
      <c r="CH72" s="448">
        <f t="shared" ref="CH72" si="866">EOMONTH(CG72,1)</f>
        <v>45169</v>
      </c>
      <c r="CI72" s="448">
        <f t="shared" ref="CI72" si="867">EOMONTH(CH72,1)</f>
        <v>45199</v>
      </c>
      <c r="CJ72" s="448">
        <f t="shared" ref="CJ72" si="868">EOMONTH(CI72,1)</f>
        <v>45230</v>
      </c>
      <c r="CK72" s="448">
        <f t="shared" ref="CK72" si="869">EOMONTH(CJ72,1)</f>
        <v>45260</v>
      </c>
      <c r="CL72" s="448">
        <f t="shared" ref="CL72" si="870">EOMONTH(CK72,1)</f>
        <v>45291</v>
      </c>
      <c r="CM72" s="448">
        <f t="shared" ref="CM72" si="871">EOMONTH(CL72,1)</f>
        <v>45322</v>
      </c>
      <c r="CN72" s="448">
        <f t="shared" ref="CN72" si="872">EOMONTH(CM72,1)</f>
        <v>45351</v>
      </c>
      <c r="CO72" s="448">
        <f t="shared" ref="CO72" si="873">EOMONTH(CN72,1)</f>
        <v>45382</v>
      </c>
      <c r="CP72" s="448">
        <f t="shared" ref="CP72" si="874">EOMONTH(CO72,1)</f>
        <v>45412</v>
      </c>
      <c r="CQ72" s="448">
        <f t="shared" ref="CQ72" si="875">EOMONTH(CP72,1)</f>
        <v>45443</v>
      </c>
      <c r="CR72" s="448">
        <f t="shared" ref="CR72" si="876">EOMONTH(CQ72,1)</f>
        <v>45473</v>
      </c>
      <c r="CS72" s="448">
        <f t="shared" ref="CS72" si="877">EOMONTH(CR72,1)</f>
        <v>45504</v>
      </c>
      <c r="CT72" s="448">
        <f t="shared" ref="CT72" si="878">EOMONTH(CS72,1)</f>
        <v>45535</v>
      </c>
      <c r="CU72" s="448">
        <f t="shared" ref="CU72" si="879">EOMONTH(CT72,1)</f>
        <v>45565</v>
      </c>
      <c r="CV72" s="448">
        <f t="shared" ref="CV72" si="880">EOMONTH(CU72,1)</f>
        <v>45596</v>
      </c>
      <c r="CW72" s="448">
        <f t="shared" ref="CW72" si="881">EOMONTH(CV72,1)</f>
        <v>45626</v>
      </c>
      <c r="CX72" s="448">
        <f t="shared" ref="CX72" si="882">EOMONTH(CW72,1)</f>
        <v>45657</v>
      </c>
      <c r="CY72" s="448">
        <f t="shared" ref="CY72" si="883">EOMONTH(CX72,1)</f>
        <v>45688</v>
      </c>
      <c r="CZ72" s="448">
        <f t="shared" ref="CZ72" si="884">EOMONTH(CY72,1)</f>
        <v>45716</v>
      </c>
      <c r="DA72" s="448">
        <f t="shared" ref="DA72" si="885">EOMONTH(CZ72,1)</f>
        <v>45747</v>
      </c>
      <c r="DB72" s="448">
        <f t="shared" ref="DB72" si="886">EOMONTH(DA72,1)</f>
        <v>45777</v>
      </c>
      <c r="DC72" s="448">
        <f t="shared" ref="DC72" si="887">EOMONTH(DB72,1)</f>
        <v>45808</v>
      </c>
      <c r="DD72" s="448">
        <f t="shared" ref="DD72" si="888">EOMONTH(DC72,1)</f>
        <v>45838</v>
      </c>
      <c r="DE72" s="448">
        <f t="shared" ref="DE72" si="889">EOMONTH(DD72,1)</f>
        <v>45869</v>
      </c>
      <c r="DF72" s="448">
        <f t="shared" ref="DF72" si="890">EOMONTH(DE72,1)</f>
        <v>45900</v>
      </c>
      <c r="DG72" s="448">
        <f t="shared" ref="DG72" si="891">EOMONTH(DF72,1)</f>
        <v>45930</v>
      </c>
      <c r="DH72" s="448">
        <f t="shared" ref="DH72" si="892">EOMONTH(DG72,1)</f>
        <v>45961</v>
      </c>
      <c r="DI72" s="448">
        <f t="shared" ref="DI72" si="893">EOMONTH(DH72,1)</f>
        <v>45991</v>
      </c>
      <c r="DJ72" s="448">
        <f t="shared" ref="DJ72" si="894">EOMONTH(DI72,1)</f>
        <v>46022</v>
      </c>
      <c r="DK72" s="448">
        <f t="shared" ref="DK72" si="895">EOMONTH(DJ72,1)</f>
        <v>46053</v>
      </c>
      <c r="DL72" s="448">
        <f t="shared" ref="DL72" si="896">EOMONTH(DK72,1)</f>
        <v>46081</v>
      </c>
      <c r="DM72" s="448">
        <f t="shared" ref="DM72" si="897">EOMONTH(DL72,1)</f>
        <v>46112</v>
      </c>
      <c r="DN72" s="448">
        <f t="shared" ref="DN72" si="898">EOMONTH(DM72,1)</f>
        <v>46142</v>
      </c>
      <c r="DO72" s="448">
        <f t="shared" ref="DO72" si="899">EOMONTH(DN72,1)</f>
        <v>46173</v>
      </c>
      <c r="DP72" s="448">
        <f t="shared" ref="DP72" si="900">EOMONTH(DO72,1)</f>
        <v>46203</v>
      </c>
      <c r="DQ72" s="448">
        <f t="shared" ref="DQ72" si="901">EOMONTH(DP72,1)</f>
        <v>46234</v>
      </c>
      <c r="DR72" s="448">
        <f t="shared" ref="DR72" si="902">EOMONTH(DQ72,1)</f>
        <v>46265</v>
      </c>
      <c r="DS72" s="448">
        <f t="shared" ref="DS72" si="903">EOMONTH(DR72,1)</f>
        <v>46295</v>
      </c>
      <c r="DT72" s="448">
        <f t="shared" ref="DT72" si="904">EOMONTH(DS72,1)</f>
        <v>46326</v>
      </c>
      <c r="DU72" s="448">
        <f t="shared" ref="DU72" si="905">EOMONTH(DT72,1)</f>
        <v>46356</v>
      </c>
      <c r="DV72" s="448">
        <f t="shared" ref="DV72" si="906">EOMONTH(DU72,1)</f>
        <v>46387</v>
      </c>
      <c r="DW72" s="448">
        <f t="shared" ref="DW72" si="907">EOMONTH(DV72,1)</f>
        <v>46418</v>
      </c>
      <c r="DX72" s="448">
        <f t="shared" ref="DX72" si="908">EOMONTH(DW72,1)</f>
        <v>46446</v>
      </c>
      <c r="DY72" s="448">
        <f t="shared" ref="DY72" si="909">EOMONTH(DX72,1)</f>
        <v>46477</v>
      </c>
      <c r="DZ72" s="448">
        <f t="shared" ref="DZ72" si="910">EOMONTH(DY72,1)</f>
        <v>46507</v>
      </c>
      <c r="EA72" s="448">
        <f t="shared" ref="EA72" si="911">EOMONTH(DZ72,1)</f>
        <v>46538</v>
      </c>
      <c r="EB72" s="448">
        <f t="shared" ref="EB72" si="912">EOMONTH(EA72,1)</f>
        <v>46568</v>
      </c>
      <c r="EC72" s="448">
        <f t="shared" ref="EC72" si="913">EOMONTH(EB72,1)</f>
        <v>46599</v>
      </c>
      <c r="ED72" s="448">
        <f t="shared" ref="ED72" si="914">EOMONTH(EC72,1)</f>
        <v>46630</v>
      </c>
      <c r="EE72" s="448">
        <f t="shared" ref="EE72" si="915">EOMONTH(ED72,1)</f>
        <v>46660</v>
      </c>
      <c r="EF72" s="448">
        <f t="shared" ref="EF72" si="916">EOMONTH(EE72,1)</f>
        <v>46691</v>
      </c>
      <c r="EG72" s="448">
        <f t="shared" ref="EG72" si="917">EOMONTH(EF72,1)</f>
        <v>46721</v>
      </c>
      <c r="EH72" s="448">
        <f t="shared" ref="EH72" si="918">EOMONTH(EG72,1)</f>
        <v>46752</v>
      </c>
      <c r="EI72" s="448">
        <f t="shared" ref="EI72" si="919">EOMONTH(EH72,1)</f>
        <v>46783</v>
      </c>
      <c r="EJ72" s="448">
        <f t="shared" ref="EJ72" si="920">EOMONTH(EI72,1)</f>
        <v>46812</v>
      </c>
      <c r="EK72" s="448">
        <f t="shared" ref="EK72" si="921">EOMONTH(EJ72,1)</f>
        <v>46843</v>
      </c>
      <c r="EL72" s="448">
        <f t="shared" ref="EL72" si="922">EOMONTH(EK72,1)</f>
        <v>46873</v>
      </c>
      <c r="EM72" s="448">
        <f t="shared" ref="EM72" si="923">EOMONTH(EL72,1)</f>
        <v>46904</v>
      </c>
      <c r="EN72" s="448">
        <f t="shared" ref="EN72" si="924">EOMONTH(EM72,1)</f>
        <v>46934</v>
      </c>
      <c r="EO72" s="448">
        <f t="shared" ref="EO72" si="925">EOMONTH(EN72,1)</f>
        <v>46965</v>
      </c>
      <c r="EP72" s="448">
        <f t="shared" ref="EP72" si="926">EOMONTH(EO72,1)</f>
        <v>46996</v>
      </c>
      <c r="EQ72" s="448">
        <f t="shared" ref="EQ72" si="927">EOMONTH(EP72,1)</f>
        <v>47026</v>
      </c>
      <c r="ER72" s="448">
        <f t="shared" ref="ER72" si="928">EOMONTH(EQ72,1)</f>
        <v>47057</v>
      </c>
      <c r="ES72" s="448">
        <f t="shared" ref="ES72" si="929">EOMONTH(ER72,1)</f>
        <v>47087</v>
      </c>
      <c r="ET72" s="448">
        <f t="shared" ref="ET72" si="930">EOMONTH(ES72,1)</f>
        <v>47118</v>
      </c>
    </row>
    <row r="73" spans="3:150" outlineLevel="1">
      <c r="C73" s="142"/>
      <c r="D73" s="48"/>
      <c r="E73" s="160"/>
      <c r="F73" s="48"/>
      <c r="G73" s="48"/>
      <c r="H73" s="48"/>
      <c r="I73" s="48"/>
      <c r="J73" s="48"/>
      <c r="K73" s="48"/>
      <c r="L73" s="48"/>
      <c r="M73" s="48"/>
      <c r="N73" s="48"/>
      <c r="O73" s="48"/>
      <c r="P73" s="48"/>
      <c r="Q73" s="48"/>
      <c r="R73" s="139"/>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6"/>
      <c r="BQ73" s="136"/>
      <c r="BR73" s="136"/>
      <c r="BS73" s="136"/>
      <c r="BT73" s="136"/>
      <c r="BU73" s="136"/>
      <c r="BV73" s="136"/>
      <c r="BW73" s="136"/>
      <c r="BX73" s="136"/>
      <c r="BY73" s="136"/>
      <c r="BZ73" s="136"/>
      <c r="CA73" s="136"/>
      <c r="CB73" s="136"/>
      <c r="CC73" s="136"/>
      <c r="CD73" s="136"/>
      <c r="CE73" s="136"/>
      <c r="CF73" s="136"/>
      <c r="CG73" s="136"/>
      <c r="CH73" s="136"/>
      <c r="CI73" s="136"/>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c r="DL73" s="136"/>
      <c r="DM73" s="136"/>
      <c r="DN73" s="136"/>
      <c r="DO73" s="136"/>
      <c r="DP73" s="136"/>
      <c r="DQ73" s="136"/>
      <c r="DR73" s="136"/>
      <c r="DS73" s="136"/>
      <c r="DT73" s="136"/>
      <c r="DU73" s="136"/>
      <c r="DV73" s="136"/>
      <c r="DW73" s="136"/>
      <c r="DX73" s="136"/>
      <c r="DY73" s="136"/>
      <c r="DZ73" s="136"/>
      <c r="EA73" s="136"/>
      <c r="EB73" s="136"/>
      <c r="EC73" s="136"/>
      <c r="ED73" s="136"/>
      <c r="EE73" s="136"/>
      <c r="EF73" s="136"/>
      <c r="EG73" s="136"/>
      <c r="EH73" s="136"/>
      <c r="EI73" s="136"/>
      <c r="EJ73" s="136"/>
      <c r="EK73" s="136"/>
      <c r="EL73" s="136"/>
      <c r="EM73" s="136"/>
      <c r="EN73" s="136"/>
      <c r="EO73" s="136"/>
      <c r="EP73" s="136"/>
      <c r="EQ73" s="136"/>
      <c r="ER73" s="136"/>
      <c r="ES73" s="136"/>
      <c r="ET73" s="136"/>
    </row>
    <row r="74" spans="3:150" outlineLevel="1">
      <c r="C74" s="161"/>
      <c r="D74" s="48"/>
      <c r="E74" s="160"/>
      <c r="F74" s="137"/>
      <c r="G74" s="48"/>
      <c r="H74" s="48"/>
      <c r="I74" s="138"/>
      <c r="J74" s="48"/>
      <c r="K74" s="48"/>
      <c r="L74" s="138"/>
      <c r="M74" s="48"/>
      <c r="N74" s="48"/>
      <c r="O74" s="138"/>
      <c r="P74" s="48"/>
      <c r="Q74" s="48"/>
      <c r="R74" s="137"/>
      <c r="S74" s="139"/>
      <c r="T74" s="139"/>
      <c r="U74" s="139"/>
      <c r="V74" s="139"/>
      <c r="W74" s="139"/>
      <c r="X74" s="139"/>
      <c r="Y74" s="139"/>
      <c r="Z74" s="139"/>
      <c r="AA74" s="139"/>
      <c r="AB74" s="139"/>
      <c r="AC74" s="139"/>
      <c r="AD74" s="139"/>
      <c r="AE74" s="139"/>
      <c r="AF74" s="139"/>
      <c r="AG74" s="139"/>
      <c r="AH74" s="139"/>
      <c r="AI74" s="139"/>
      <c r="AJ74" s="139"/>
      <c r="AK74" s="139"/>
      <c r="AL74" s="139"/>
      <c r="AM74" s="139"/>
      <c r="AN74" s="139"/>
      <c r="AO74" s="139"/>
      <c r="AP74" s="139"/>
      <c r="AQ74" s="139"/>
      <c r="AR74" s="139"/>
      <c r="AS74" s="139"/>
      <c r="AT74" s="139"/>
      <c r="AU74" s="139"/>
      <c r="AV74" s="139"/>
      <c r="AW74" s="139"/>
      <c r="AX74" s="139"/>
      <c r="AY74" s="139"/>
      <c r="AZ74" s="139"/>
      <c r="BA74" s="139"/>
      <c r="BB74" s="139"/>
      <c r="BC74" s="139"/>
      <c r="BD74" s="139"/>
      <c r="BE74" s="139"/>
      <c r="BF74" s="139"/>
      <c r="BG74" s="139"/>
      <c r="BH74" s="139"/>
      <c r="BI74" s="139"/>
      <c r="BJ74" s="139"/>
      <c r="BK74" s="139"/>
      <c r="BL74" s="139"/>
      <c r="BM74" s="139"/>
      <c r="BN74" s="139"/>
      <c r="BO74" s="139"/>
      <c r="BP74" s="139"/>
      <c r="BQ74" s="139"/>
      <c r="BR74" s="139"/>
      <c r="BS74" s="139"/>
      <c r="BT74" s="139"/>
      <c r="BU74" s="139"/>
      <c r="BV74" s="139"/>
      <c r="BW74" s="139"/>
      <c r="BX74" s="139"/>
      <c r="BY74" s="139"/>
      <c r="BZ74" s="139"/>
      <c r="CA74" s="139"/>
      <c r="CB74" s="139"/>
      <c r="CC74" s="139"/>
      <c r="CD74" s="139"/>
      <c r="CE74" s="139"/>
      <c r="CF74" s="139"/>
      <c r="CG74" s="139"/>
      <c r="CH74" s="139"/>
      <c r="CI74" s="139"/>
      <c r="CJ74" s="139"/>
      <c r="CK74" s="139"/>
      <c r="CL74" s="139"/>
      <c r="CM74" s="139"/>
      <c r="CN74" s="139"/>
      <c r="CO74" s="139"/>
      <c r="CP74" s="139"/>
      <c r="CQ74" s="139"/>
      <c r="CR74" s="139"/>
      <c r="CS74" s="139"/>
      <c r="CT74" s="139"/>
      <c r="CU74" s="139"/>
      <c r="CV74" s="139"/>
      <c r="CW74" s="139"/>
      <c r="CX74" s="139"/>
      <c r="CY74" s="139"/>
      <c r="CZ74" s="139"/>
      <c r="DA74" s="139"/>
      <c r="DB74" s="139"/>
      <c r="DC74" s="139"/>
      <c r="DD74" s="139"/>
      <c r="DE74" s="139"/>
      <c r="DF74" s="139"/>
      <c r="DG74" s="139"/>
      <c r="DH74" s="139"/>
      <c r="DI74" s="139"/>
      <c r="DJ74" s="139"/>
      <c r="DK74" s="139"/>
      <c r="DL74" s="139"/>
      <c r="DM74" s="139"/>
      <c r="DN74" s="139"/>
      <c r="DO74" s="139"/>
      <c r="DP74" s="139"/>
      <c r="DQ74" s="139"/>
      <c r="DR74" s="139"/>
      <c r="DS74" s="139"/>
      <c r="DT74" s="139"/>
      <c r="DU74" s="139"/>
      <c r="DV74" s="139"/>
      <c r="DW74" s="139"/>
      <c r="DX74" s="139"/>
      <c r="DY74" s="139"/>
      <c r="DZ74" s="139"/>
      <c r="EA74" s="139"/>
      <c r="EB74" s="139"/>
      <c r="EC74" s="139"/>
      <c r="ED74" s="139"/>
      <c r="EE74" s="139"/>
      <c r="EF74" s="139"/>
      <c r="EG74" s="139"/>
      <c r="EH74" s="139"/>
      <c r="EI74" s="139"/>
      <c r="EJ74" s="139"/>
      <c r="EK74" s="139"/>
      <c r="EL74" s="139"/>
      <c r="EM74" s="139"/>
      <c r="EN74" s="139"/>
      <c r="EO74" s="139"/>
      <c r="EP74" s="139"/>
      <c r="EQ74" s="139"/>
      <c r="ER74" s="139"/>
      <c r="ES74" s="139"/>
      <c r="ET74" s="139"/>
    </row>
    <row r="75" spans="3:150" outlineLevel="1">
      <c r="C75" s="161"/>
      <c r="D75" s="48"/>
      <c r="E75" s="160"/>
      <c r="F75" s="137"/>
      <c r="G75" s="48"/>
      <c r="H75" s="48"/>
      <c r="I75" s="138"/>
      <c r="J75" s="48"/>
      <c r="K75" s="48"/>
      <c r="L75" s="138"/>
      <c r="M75" s="138"/>
      <c r="N75" s="138"/>
      <c r="O75" s="138"/>
      <c r="P75" s="48"/>
      <c r="Q75" s="48"/>
      <c r="R75" s="137"/>
      <c r="S75" s="139"/>
      <c r="T75" s="139"/>
      <c r="U75" s="139"/>
      <c r="V75" s="139"/>
      <c r="W75" s="139"/>
      <c r="X75" s="139"/>
      <c r="Y75" s="139"/>
      <c r="Z75" s="139"/>
      <c r="AA75" s="139"/>
      <c r="AB75" s="139"/>
      <c r="AC75" s="139"/>
      <c r="AD75" s="139"/>
      <c r="AE75" s="139"/>
      <c r="AF75" s="139"/>
      <c r="AG75" s="139"/>
      <c r="AH75" s="139"/>
      <c r="AI75" s="139"/>
      <c r="AJ75" s="139"/>
      <c r="AK75" s="139"/>
      <c r="AL75" s="139"/>
      <c r="AM75" s="139"/>
      <c r="AN75" s="139"/>
      <c r="AO75" s="139"/>
      <c r="AP75" s="139"/>
      <c r="AQ75" s="139"/>
      <c r="AR75" s="139"/>
      <c r="AS75" s="139"/>
      <c r="AT75" s="139"/>
      <c r="AU75" s="139"/>
      <c r="AV75" s="139"/>
      <c r="AW75" s="139"/>
      <c r="AX75" s="139"/>
      <c r="AY75" s="139"/>
      <c r="AZ75" s="139"/>
      <c r="BA75" s="139"/>
      <c r="BB75" s="139"/>
      <c r="BC75" s="139"/>
      <c r="BD75" s="139"/>
      <c r="BE75" s="139"/>
      <c r="BF75" s="139"/>
      <c r="BG75" s="139"/>
      <c r="BH75" s="139"/>
      <c r="BI75" s="139"/>
      <c r="BJ75" s="139"/>
      <c r="BK75" s="139"/>
      <c r="BL75" s="139"/>
      <c r="BM75" s="139"/>
      <c r="BN75" s="139"/>
      <c r="BO75" s="139"/>
      <c r="BP75" s="139"/>
      <c r="BQ75" s="139"/>
      <c r="BR75" s="139"/>
      <c r="BS75" s="139"/>
      <c r="BT75" s="139"/>
      <c r="BU75" s="139"/>
      <c r="BV75" s="139"/>
      <c r="BW75" s="139"/>
      <c r="BX75" s="139"/>
      <c r="BY75" s="139"/>
      <c r="BZ75" s="139"/>
      <c r="CA75" s="139"/>
      <c r="CB75" s="139"/>
      <c r="CC75" s="139"/>
      <c r="CD75" s="139"/>
      <c r="CE75" s="139"/>
      <c r="CF75" s="139"/>
      <c r="CG75" s="139"/>
      <c r="CH75" s="139"/>
      <c r="CI75" s="139"/>
      <c r="CJ75" s="139"/>
      <c r="CK75" s="139"/>
      <c r="CL75" s="139"/>
      <c r="CM75" s="139"/>
      <c r="CN75" s="139"/>
      <c r="CO75" s="139"/>
      <c r="CP75" s="139"/>
      <c r="CQ75" s="139"/>
      <c r="CR75" s="139"/>
      <c r="CS75" s="139"/>
      <c r="CT75" s="139"/>
      <c r="CU75" s="139"/>
      <c r="CV75" s="139"/>
      <c r="CW75" s="139"/>
      <c r="CX75" s="139"/>
      <c r="CY75" s="139"/>
      <c r="CZ75" s="139"/>
      <c r="DA75" s="139"/>
      <c r="DB75" s="139"/>
      <c r="DC75" s="139"/>
      <c r="DD75" s="139"/>
      <c r="DE75" s="139"/>
      <c r="DF75" s="139"/>
      <c r="DG75" s="139"/>
      <c r="DH75" s="139"/>
      <c r="DI75" s="139"/>
      <c r="DJ75" s="139"/>
      <c r="DK75" s="139"/>
      <c r="DL75" s="139"/>
      <c r="DM75" s="139"/>
      <c r="DN75" s="139"/>
      <c r="DO75" s="139"/>
      <c r="DP75" s="139"/>
      <c r="DQ75" s="139"/>
      <c r="DR75" s="139"/>
      <c r="DS75" s="139"/>
      <c r="DT75" s="139"/>
      <c r="DU75" s="139"/>
      <c r="DV75" s="139"/>
      <c r="DW75" s="139"/>
      <c r="DX75" s="139"/>
      <c r="DY75" s="139"/>
      <c r="DZ75" s="139"/>
      <c r="EA75" s="139"/>
      <c r="EB75" s="139"/>
      <c r="EC75" s="139"/>
      <c r="ED75" s="139"/>
      <c r="EE75" s="139"/>
      <c r="EF75" s="139"/>
      <c r="EG75" s="139"/>
      <c r="EH75" s="139"/>
      <c r="EI75" s="139"/>
      <c r="EJ75" s="139"/>
      <c r="EK75" s="139"/>
      <c r="EL75" s="139"/>
      <c r="EM75" s="139"/>
      <c r="EN75" s="139"/>
      <c r="EO75" s="139"/>
      <c r="EP75" s="139"/>
      <c r="EQ75" s="139"/>
      <c r="ER75" s="139"/>
      <c r="ES75" s="139"/>
      <c r="ET75" s="139"/>
    </row>
    <row r="76" spans="3:150" outlineLevel="1">
      <c r="C76" s="161"/>
      <c r="D76" s="48"/>
      <c r="E76" s="160"/>
      <c r="F76" s="137"/>
      <c r="G76" s="137"/>
      <c r="H76" s="137"/>
      <c r="I76" s="137"/>
      <c r="J76" s="137"/>
      <c r="K76" s="137"/>
      <c r="L76" s="137"/>
      <c r="M76" s="137"/>
      <c r="N76" s="137"/>
      <c r="O76" s="137"/>
      <c r="P76" s="137"/>
      <c r="Q76" s="137"/>
      <c r="R76" s="137"/>
      <c r="S76" s="137"/>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row>
    <row r="77" spans="3:150" outlineLevel="1">
      <c r="C77" s="161"/>
      <c r="D77" s="48"/>
      <c r="E77" s="160"/>
      <c r="F77" s="137"/>
      <c r="G77" s="137"/>
      <c r="H77" s="137"/>
      <c r="I77" s="137"/>
      <c r="J77" s="137"/>
      <c r="K77" s="137"/>
      <c r="L77" s="137"/>
      <c r="M77" s="137"/>
      <c r="N77" s="137"/>
      <c r="O77" s="137"/>
      <c r="P77" s="137"/>
      <c r="Q77" s="137"/>
      <c r="R77" s="137"/>
      <c r="S77" s="137"/>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row>
    <row r="78" spans="3:150" outlineLevel="1">
      <c r="C78" s="161"/>
      <c r="D78" s="48"/>
      <c r="E78" s="160"/>
      <c r="F78" s="142"/>
      <c r="G78" s="137"/>
      <c r="H78" s="137"/>
      <c r="I78" s="137"/>
      <c r="J78" s="137"/>
      <c r="K78" s="137"/>
      <c r="L78" s="137"/>
      <c r="M78" s="137"/>
      <c r="N78" s="137"/>
      <c r="O78" s="137"/>
      <c r="P78" s="137"/>
      <c r="Q78" s="137"/>
      <c r="R78" s="137"/>
      <c r="S78" s="137"/>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row>
    <row r="79" spans="3:150">
      <c r="C79" s="161"/>
      <c r="D79" s="48"/>
      <c r="E79" s="160"/>
      <c r="F79" s="142"/>
      <c r="G79" s="137"/>
      <c r="H79" s="137"/>
      <c r="I79" s="137"/>
      <c r="J79" s="137"/>
      <c r="K79" s="137"/>
      <c r="L79" s="137"/>
      <c r="M79" s="137"/>
      <c r="N79" s="137"/>
      <c r="O79" s="137"/>
      <c r="P79" s="137"/>
      <c r="Q79" s="137"/>
      <c r="R79" s="137"/>
      <c r="S79" s="137"/>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row>
    <row r="95" spans="4:4">
      <c r="D95" s="275"/>
    </row>
  </sheetData>
  <mergeCells count="3">
    <mergeCell ref="C2:N5"/>
    <mergeCell ref="C9:D9"/>
    <mergeCell ref="C16:D1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Lists!$I$3:$I$4</xm:f>
          </x14:formula1>
          <xm:sqref>D35:D38</xm:sqref>
        </x14:dataValidation>
        <x14:dataValidation type="list" allowBlank="1" showInputMessage="1" showErrorMessage="1" xr:uid="{00000000-0002-0000-0200-000001000000}">
          <x14:formula1>
            <xm:f>Lists!$S$3:$S$5</xm:f>
          </x14:formula1>
          <xm:sqref>D43:D48 D26:D32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2060"/>
  </sheetPr>
  <dimension ref="A2:DU78"/>
  <sheetViews>
    <sheetView showGridLines="0" topLeftCell="B41" zoomScaleNormal="100" workbookViewId="0">
      <pane xSplit="1" topLeftCell="BZ1" activePane="topRight" state="frozen"/>
      <selection activeCell="B1" sqref="B1"/>
      <selection pane="topRight" activeCell="DS26" activeCellId="1" sqref="DS23 DS26"/>
    </sheetView>
  </sheetViews>
  <sheetFormatPr defaultColWidth="9.1796875" defaultRowHeight="14" outlineLevelRow="1"/>
  <cols>
    <col min="1" max="1" width="9.1796875" style="108"/>
    <col min="2" max="2" width="24.81640625" style="108" bestFit="1" customWidth="1"/>
    <col min="3" max="14" width="9.1796875" style="108" customWidth="1"/>
    <col min="15" max="16384" width="9.1796875" style="108"/>
  </cols>
  <sheetData>
    <row r="2" spans="1:125">
      <c r="A2" s="158"/>
      <c r="B2" s="153" t="s">
        <v>179</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row>
    <row r="3" spans="1:125">
      <c r="B3" s="247" t="s">
        <v>180</v>
      </c>
      <c r="C3" s="536">
        <v>42400</v>
      </c>
      <c r="D3" s="248">
        <f>EOMONTH(C3,1)</f>
        <v>42429</v>
      </c>
      <c r="E3" s="248">
        <f t="shared" ref="E3:AE3" si="0">EOMONTH(D3,1)</f>
        <v>42460</v>
      </c>
      <c r="F3" s="248">
        <f t="shared" si="0"/>
        <v>42490</v>
      </c>
      <c r="G3" s="248">
        <f t="shared" si="0"/>
        <v>42521</v>
      </c>
      <c r="H3" s="248">
        <f t="shared" si="0"/>
        <v>42551</v>
      </c>
      <c r="I3" s="248">
        <f t="shared" si="0"/>
        <v>42582</v>
      </c>
      <c r="J3" s="248">
        <f t="shared" si="0"/>
        <v>42613</v>
      </c>
      <c r="K3" s="248">
        <f t="shared" si="0"/>
        <v>42643</v>
      </c>
      <c r="L3" s="248">
        <f t="shared" si="0"/>
        <v>42674</v>
      </c>
      <c r="M3" s="248">
        <f t="shared" si="0"/>
        <v>42704</v>
      </c>
      <c r="N3" s="248">
        <f t="shared" si="0"/>
        <v>42735</v>
      </c>
      <c r="O3" s="248">
        <f t="shared" si="0"/>
        <v>42766</v>
      </c>
      <c r="P3" s="248">
        <f t="shared" si="0"/>
        <v>42794</v>
      </c>
      <c r="Q3" s="248">
        <f t="shared" si="0"/>
        <v>42825</v>
      </c>
      <c r="R3" s="248">
        <f t="shared" si="0"/>
        <v>42855</v>
      </c>
      <c r="S3" s="248">
        <f t="shared" si="0"/>
        <v>42886</v>
      </c>
      <c r="T3" s="248">
        <f t="shared" si="0"/>
        <v>42916</v>
      </c>
      <c r="U3" s="248">
        <f t="shared" si="0"/>
        <v>42947</v>
      </c>
      <c r="V3" s="248">
        <f t="shared" si="0"/>
        <v>42978</v>
      </c>
      <c r="W3" s="248">
        <f t="shared" si="0"/>
        <v>43008</v>
      </c>
      <c r="X3" s="248">
        <f t="shared" si="0"/>
        <v>43039</v>
      </c>
      <c r="Y3" s="248">
        <f t="shared" si="0"/>
        <v>43069</v>
      </c>
      <c r="Z3" s="248">
        <f t="shared" si="0"/>
        <v>43100</v>
      </c>
      <c r="AA3" s="248">
        <f t="shared" si="0"/>
        <v>43131</v>
      </c>
      <c r="AB3" s="248">
        <f t="shared" si="0"/>
        <v>43159</v>
      </c>
      <c r="AC3" s="248">
        <f t="shared" si="0"/>
        <v>43190</v>
      </c>
      <c r="AD3" s="248">
        <f t="shared" si="0"/>
        <v>43220</v>
      </c>
      <c r="AE3" s="248">
        <f t="shared" si="0"/>
        <v>43251</v>
      </c>
      <c r="AF3" s="248">
        <f t="shared" ref="AF3" si="1">EOMONTH(AE3,1)</f>
        <v>43281</v>
      </c>
      <c r="AG3" s="248">
        <f t="shared" ref="AG3" si="2">EOMONTH(AF3,1)</f>
        <v>43312</v>
      </c>
      <c r="AH3" s="248">
        <f t="shared" ref="AH3" si="3">EOMONTH(AG3,1)</f>
        <v>43343</v>
      </c>
      <c r="AI3" s="248">
        <f t="shared" ref="AI3" si="4">EOMONTH(AH3,1)</f>
        <v>43373</v>
      </c>
      <c r="AJ3" s="248">
        <f t="shared" ref="AJ3" si="5">EOMONTH(AI3,1)</f>
        <v>43404</v>
      </c>
      <c r="AK3" s="248">
        <f t="shared" ref="AK3" si="6">EOMONTH(AJ3,1)</f>
        <v>43434</v>
      </c>
      <c r="AL3" s="248">
        <f t="shared" ref="AL3" si="7">EOMONTH(AK3,1)</f>
        <v>43465</v>
      </c>
      <c r="AM3" s="248">
        <f t="shared" ref="AM3" si="8">EOMONTH(AL3,1)</f>
        <v>43496</v>
      </c>
      <c r="AN3" s="248">
        <f t="shared" ref="AN3" si="9">EOMONTH(AM3,1)</f>
        <v>43524</v>
      </c>
      <c r="AO3" s="248">
        <f t="shared" ref="AO3" si="10">EOMONTH(AN3,1)</f>
        <v>43555</v>
      </c>
      <c r="AP3" s="248">
        <f t="shared" ref="AP3" si="11">EOMONTH(AO3,1)</f>
        <v>43585</v>
      </c>
      <c r="AQ3" s="248">
        <f t="shared" ref="AQ3" si="12">EOMONTH(AP3,1)</f>
        <v>43616</v>
      </c>
      <c r="AR3" s="248">
        <f t="shared" ref="AR3" si="13">EOMONTH(AQ3,1)</f>
        <v>43646</v>
      </c>
      <c r="AS3" s="248">
        <f t="shared" ref="AS3" si="14">EOMONTH(AR3,1)</f>
        <v>43677</v>
      </c>
      <c r="AT3" s="248">
        <f t="shared" ref="AT3" si="15">EOMONTH(AS3,1)</f>
        <v>43708</v>
      </c>
      <c r="AU3" s="248">
        <f t="shared" ref="AU3" si="16">EOMONTH(AT3,1)</f>
        <v>43738</v>
      </c>
      <c r="AV3" s="248">
        <f t="shared" ref="AV3" si="17">EOMONTH(AU3,1)</f>
        <v>43769</v>
      </c>
      <c r="AW3" s="248">
        <f t="shared" ref="AW3" si="18">EOMONTH(AV3,1)</f>
        <v>43799</v>
      </c>
      <c r="AX3" s="248">
        <f t="shared" ref="AX3" si="19">EOMONTH(AW3,1)</f>
        <v>43830</v>
      </c>
      <c r="AY3" s="248">
        <f t="shared" ref="AY3" si="20">EOMONTH(AX3,1)</f>
        <v>43861</v>
      </c>
      <c r="AZ3" s="248">
        <f t="shared" ref="AZ3" si="21">EOMONTH(AY3,1)</f>
        <v>43890</v>
      </c>
      <c r="BA3" s="248">
        <f t="shared" ref="BA3" si="22">EOMONTH(AZ3,1)</f>
        <v>43921</v>
      </c>
      <c r="BB3" s="248">
        <f t="shared" ref="BB3" si="23">EOMONTH(BA3,1)</f>
        <v>43951</v>
      </c>
      <c r="BC3" s="248">
        <f t="shared" ref="BC3" si="24">EOMONTH(BB3,1)</f>
        <v>43982</v>
      </c>
      <c r="BD3" s="248">
        <f t="shared" ref="BD3" si="25">EOMONTH(BC3,1)</f>
        <v>44012</v>
      </c>
      <c r="BE3" s="248">
        <f t="shared" ref="BE3" si="26">EOMONTH(BD3,1)</f>
        <v>44043</v>
      </c>
      <c r="BF3" s="248">
        <f t="shared" ref="BF3" si="27">EOMONTH(BE3,1)</f>
        <v>44074</v>
      </c>
      <c r="BG3" s="248">
        <f t="shared" ref="BG3" si="28">EOMONTH(BF3,1)</f>
        <v>44104</v>
      </c>
      <c r="BH3" s="248">
        <f t="shared" ref="BH3" si="29">EOMONTH(BG3,1)</f>
        <v>44135</v>
      </c>
      <c r="BI3" s="248">
        <f t="shared" ref="BI3" si="30">EOMONTH(BH3,1)</f>
        <v>44165</v>
      </c>
      <c r="BJ3" s="248">
        <f t="shared" ref="BJ3" si="31">EOMONTH(BI3,1)</f>
        <v>44196</v>
      </c>
      <c r="BK3" s="248">
        <f t="shared" ref="BK3" si="32">EOMONTH(BJ3,1)</f>
        <v>44227</v>
      </c>
      <c r="BL3" s="248">
        <f t="shared" ref="BL3" si="33">EOMONTH(BK3,1)</f>
        <v>44255</v>
      </c>
      <c r="BM3" s="248">
        <f t="shared" ref="BM3" si="34">EOMONTH(BL3,1)</f>
        <v>44286</v>
      </c>
      <c r="BN3" s="248">
        <f t="shared" ref="BN3" si="35">EOMONTH(BM3,1)</f>
        <v>44316</v>
      </c>
      <c r="BO3" s="248">
        <f t="shared" ref="BO3" si="36">EOMONTH(BN3,1)</f>
        <v>44347</v>
      </c>
      <c r="BP3" s="248">
        <f t="shared" ref="BP3" si="37">EOMONTH(BO3,1)</f>
        <v>44377</v>
      </c>
      <c r="BQ3" s="248">
        <f t="shared" ref="BQ3" si="38">EOMONTH(BP3,1)</f>
        <v>44408</v>
      </c>
      <c r="BR3" s="248">
        <f t="shared" ref="BR3" si="39">EOMONTH(BQ3,1)</f>
        <v>44439</v>
      </c>
      <c r="BS3" s="248">
        <f t="shared" ref="BS3" si="40">EOMONTH(BR3,1)</f>
        <v>44469</v>
      </c>
      <c r="BT3" s="248">
        <f t="shared" ref="BT3" si="41">EOMONTH(BS3,1)</f>
        <v>44500</v>
      </c>
      <c r="BU3" s="248">
        <f>EOMONTH(BT3,1)</f>
        <v>44530</v>
      </c>
      <c r="BV3" s="248">
        <f t="shared" ref="BV3:BW3" si="42">EOMONTH(BU3,1)</f>
        <v>44561</v>
      </c>
      <c r="BW3" s="248">
        <f t="shared" si="42"/>
        <v>44592</v>
      </c>
      <c r="BX3" s="248">
        <f t="shared" ref="BX3:BY3" si="43">EOMONTH(BW3,1)</f>
        <v>44620</v>
      </c>
      <c r="BY3" s="248">
        <f t="shared" si="43"/>
        <v>44651</v>
      </c>
      <c r="BZ3" s="248">
        <f t="shared" ref="BZ3:CA3" si="44">EOMONTH(BY3,1)</f>
        <v>44681</v>
      </c>
      <c r="CA3" s="248">
        <f t="shared" si="44"/>
        <v>44712</v>
      </c>
      <c r="CB3" s="248">
        <f t="shared" ref="CB3:CC3" si="45">EOMONTH(CA3,1)</f>
        <v>44742</v>
      </c>
      <c r="CC3" s="248">
        <f t="shared" si="45"/>
        <v>44773</v>
      </c>
      <c r="CD3" s="248">
        <f t="shared" ref="CD3" si="46">EOMONTH(CC3,1)</f>
        <v>44804</v>
      </c>
      <c r="CE3" s="248">
        <f t="shared" ref="CE3" si="47">EOMONTH(CD3,1)</f>
        <v>44834</v>
      </c>
      <c r="CF3" s="248">
        <f t="shared" ref="CF3" si="48">EOMONTH(CE3,1)</f>
        <v>44865</v>
      </c>
      <c r="CG3" s="248">
        <f t="shared" ref="CG3" si="49">EOMONTH(CF3,1)</f>
        <v>44895</v>
      </c>
      <c r="CH3" s="248">
        <f t="shared" ref="CH3" si="50">EOMONTH(CG3,1)</f>
        <v>44926</v>
      </c>
      <c r="CI3" s="248">
        <f t="shared" ref="CI3" si="51">EOMONTH(CH3,1)</f>
        <v>44957</v>
      </c>
      <c r="CJ3" s="248">
        <f t="shared" ref="CJ3" si="52">EOMONTH(CI3,1)</f>
        <v>44985</v>
      </c>
      <c r="CK3" s="248">
        <f t="shared" ref="CK3" si="53">EOMONTH(CJ3,1)</f>
        <v>45016</v>
      </c>
      <c r="CL3" s="248">
        <f t="shared" ref="CL3" si="54">EOMONTH(CK3,1)</f>
        <v>45046</v>
      </c>
      <c r="CM3" s="248">
        <f t="shared" ref="CM3" si="55">EOMONTH(CL3,1)</f>
        <v>45077</v>
      </c>
      <c r="CN3" s="248">
        <f t="shared" ref="CN3" si="56">EOMONTH(CM3,1)</f>
        <v>45107</v>
      </c>
      <c r="CO3" s="248">
        <f t="shared" ref="CO3" si="57">EOMONTH(CN3,1)</f>
        <v>45138</v>
      </c>
      <c r="CP3" s="248">
        <f t="shared" ref="CP3" si="58">EOMONTH(CO3,1)</f>
        <v>45169</v>
      </c>
      <c r="CQ3" s="248">
        <f t="shared" ref="CQ3" si="59">EOMONTH(CP3,1)</f>
        <v>45199</v>
      </c>
      <c r="CR3" s="248">
        <f t="shared" ref="CR3" si="60">EOMONTH(CQ3,1)</f>
        <v>45230</v>
      </c>
      <c r="CS3" s="248">
        <f t="shared" ref="CS3" si="61">EOMONTH(CR3,1)</f>
        <v>45260</v>
      </c>
      <c r="CT3" s="248">
        <f t="shared" ref="CT3" si="62">EOMONTH(CS3,1)</f>
        <v>45291</v>
      </c>
      <c r="CU3" s="248">
        <f t="shared" ref="CU3" si="63">EOMONTH(CT3,1)</f>
        <v>45322</v>
      </c>
      <c r="CV3" s="248">
        <f t="shared" ref="CV3" si="64">EOMONTH(CU3,1)</f>
        <v>45351</v>
      </c>
      <c r="CW3" s="248">
        <f t="shared" ref="CW3" si="65">EOMONTH(CV3,1)</f>
        <v>45382</v>
      </c>
      <c r="CX3" s="248">
        <f t="shared" ref="CX3" si="66">EOMONTH(CW3,1)</f>
        <v>45412</v>
      </c>
      <c r="CY3" s="248">
        <f t="shared" ref="CY3" si="67">EOMONTH(CX3,1)</f>
        <v>45443</v>
      </c>
      <c r="CZ3" s="248">
        <f t="shared" ref="CZ3" si="68">EOMONTH(CY3,1)</f>
        <v>45473</v>
      </c>
      <c r="DA3" s="248">
        <f t="shared" ref="DA3" si="69">EOMONTH(CZ3,1)</f>
        <v>45504</v>
      </c>
      <c r="DB3" s="248">
        <f t="shared" ref="DB3" si="70">EOMONTH(DA3,1)</f>
        <v>45535</v>
      </c>
      <c r="DC3" s="248">
        <f t="shared" ref="DC3" si="71">EOMONTH(DB3,1)</f>
        <v>45565</v>
      </c>
      <c r="DD3" s="248">
        <f t="shared" ref="DD3" si="72">EOMONTH(DC3,1)</f>
        <v>45596</v>
      </c>
      <c r="DE3" s="248">
        <f t="shared" ref="DE3" si="73">EOMONTH(DD3,1)</f>
        <v>45626</v>
      </c>
      <c r="DF3" s="248">
        <f t="shared" ref="DF3" si="74">EOMONTH(DE3,1)</f>
        <v>45657</v>
      </c>
      <c r="DG3" s="248">
        <f t="shared" ref="DG3" si="75">EOMONTH(DF3,1)</f>
        <v>45688</v>
      </c>
      <c r="DH3" s="248">
        <f t="shared" ref="DH3" si="76">EOMONTH(DG3,1)</f>
        <v>45716</v>
      </c>
      <c r="DI3" s="248">
        <f t="shared" ref="DI3" si="77">EOMONTH(DH3,1)</f>
        <v>45747</v>
      </c>
      <c r="DJ3" s="248">
        <f t="shared" ref="DJ3" si="78">EOMONTH(DI3,1)</f>
        <v>45777</v>
      </c>
      <c r="DK3" s="248">
        <f t="shared" ref="DK3" si="79">EOMONTH(DJ3,1)</f>
        <v>45808</v>
      </c>
      <c r="DL3" s="248">
        <f t="shared" ref="DL3" si="80">EOMONTH(DK3,1)</f>
        <v>45838</v>
      </c>
      <c r="DM3" s="248">
        <f t="shared" ref="DM3" si="81">EOMONTH(DL3,1)</f>
        <v>45869</v>
      </c>
      <c r="DN3" s="248">
        <f t="shared" ref="DN3" si="82">EOMONTH(DM3,1)</f>
        <v>45900</v>
      </c>
      <c r="DO3" s="248">
        <f t="shared" ref="DO3" si="83">EOMONTH(DN3,1)</f>
        <v>45930</v>
      </c>
      <c r="DP3" s="248">
        <f t="shared" ref="DP3" si="84">EOMONTH(DO3,1)</f>
        <v>45961</v>
      </c>
      <c r="DQ3" s="248">
        <f t="shared" ref="DQ3" si="85">EOMONTH(DP3,1)</f>
        <v>45991</v>
      </c>
      <c r="DR3" s="248">
        <f t="shared" ref="DR3" si="86">EOMONTH(DQ3,1)</f>
        <v>46022</v>
      </c>
      <c r="DS3" s="248">
        <f t="shared" ref="DS3" si="87">EOMONTH(DR3,1)</f>
        <v>46053</v>
      </c>
      <c r="DT3" s="248">
        <f t="shared" ref="DT3:DU3" si="88">EOMONTH(DS3,1)</f>
        <v>46081</v>
      </c>
      <c r="DU3" s="248">
        <f t="shared" si="88"/>
        <v>46112</v>
      </c>
    </row>
    <row r="4" spans="1:125">
      <c r="B4" s="372" t="s">
        <v>181</v>
      </c>
      <c r="C4" s="124">
        <v>0</v>
      </c>
      <c r="D4" s="124">
        <v>0</v>
      </c>
      <c r="E4" s="124">
        <v>0</v>
      </c>
      <c r="F4" s="124">
        <v>0</v>
      </c>
      <c r="G4" s="124">
        <v>0</v>
      </c>
      <c r="H4" s="124">
        <v>0</v>
      </c>
      <c r="I4" s="124">
        <v>0</v>
      </c>
      <c r="J4" s="124">
        <v>0</v>
      </c>
      <c r="K4" s="124">
        <v>0</v>
      </c>
      <c r="L4" s="124">
        <v>0</v>
      </c>
      <c r="M4" s="124">
        <v>0</v>
      </c>
      <c r="N4" s="124">
        <v>0</v>
      </c>
      <c r="O4" s="124">
        <v>0</v>
      </c>
      <c r="P4" s="124">
        <v>0</v>
      </c>
      <c r="Q4" s="125">
        <v>0</v>
      </c>
      <c r="R4" s="124">
        <v>0</v>
      </c>
      <c r="S4" s="124">
        <v>0</v>
      </c>
      <c r="T4" s="124">
        <v>0</v>
      </c>
      <c r="U4" s="124">
        <v>0</v>
      </c>
      <c r="V4" s="124">
        <v>0</v>
      </c>
      <c r="W4" s="124">
        <v>0</v>
      </c>
      <c r="X4" s="124">
        <v>0</v>
      </c>
      <c r="Y4" s="124">
        <v>0</v>
      </c>
      <c r="Z4" s="124">
        <v>0</v>
      </c>
      <c r="AA4" s="124">
        <v>0</v>
      </c>
      <c r="AB4" s="124">
        <v>0</v>
      </c>
      <c r="AC4" s="124">
        <v>0</v>
      </c>
      <c r="AD4" s="124">
        <v>0</v>
      </c>
      <c r="AE4" s="124">
        <v>0</v>
      </c>
      <c r="AF4" s="124">
        <v>0</v>
      </c>
      <c r="AG4" s="124">
        <v>0</v>
      </c>
      <c r="AH4" s="124">
        <v>0</v>
      </c>
      <c r="AI4" s="124">
        <v>0</v>
      </c>
      <c r="AJ4" s="124">
        <v>0</v>
      </c>
      <c r="AK4" s="124">
        <v>0</v>
      </c>
      <c r="AL4" s="124">
        <v>0</v>
      </c>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f>BL4</f>
        <v>1743</v>
      </c>
      <c r="BL4" s="124">
        <f>BM4</f>
        <v>1743</v>
      </c>
      <c r="BM4" s="124">
        <f>5229/3</f>
        <v>1743</v>
      </c>
      <c r="BN4" s="124">
        <f>BO4</f>
        <v>675</v>
      </c>
      <c r="BO4" s="124">
        <f>BP4</f>
        <v>675</v>
      </c>
      <c r="BP4" s="124">
        <f>(7254-SUM(BK4:BM4))/3</f>
        <v>675</v>
      </c>
      <c r="BQ4" s="124">
        <f>BR4</f>
        <v>263.33333333333331</v>
      </c>
      <c r="BR4" s="124">
        <f>BS4</f>
        <v>263.33333333333331</v>
      </c>
      <c r="BS4" s="124">
        <f>(8044-SUM(BK4:BP4))/3</f>
        <v>263.33333333333331</v>
      </c>
      <c r="BT4" s="124">
        <f>BV4</f>
        <v>496.33333333333366</v>
      </c>
      <c r="BU4" s="124">
        <f>BV4</f>
        <v>496.33333333333366</v>
      </c>
      <c r="BV4" s="124">
        <f>(9533-SUM(BK4:BS4))/3</f>
        <v>496.33333333333366</v>
      </c>
      <c r="BW4" s="124">
        <f>BX4</f>
        <v>657.66666666666663</v>
      </c>
      <c r="BX4" s="124">
        <f>BY4</f>
        <v>657.66666666666663</v>
      </c>
      <c r="BY4" s="124">
        <f>1973/3</f>
        <v>657.66666666666663</v>
      </c>
      <c r="BZ4" s="124">
        <f>CB4</f>
        <v>288</v>
      </c>
      <c r="CA4" s="124">
        <f>CB4</f>
        <v>288</v>
      </c>
      <c r="CB4" s="124">
        <f>(2837-SUM(BW4:BY4))/3</f>
        <v>288</v>
      </c>
      <c r="CC4" s="124">
        <f>CE4</f>
        <v>512</v>
      </c>
      <c r="CD4" s="124">
        <f>CE4</f>
        <v>512</v>
      </c>
      <c r="CE4" s="124">
        <f>(4373-SUM(BW4:CB4))/3</f>
        <v>512</v>
      </c>
      <c r="CF4" s="124">
        <f>CH4</f>
        <v>298.33333333333331</v>
      </c>
      <c r="CG4" s="124">
        <f>CH4</f>
        <v>298.33333333333331</v>
      </c>
      <c r="CH4" s="124">
        <f>(5268-CE5)/3</f>
        <v>298.33333333333331</v>
      </c>
      <c r="CI4" s="124">
        <f>2219/3</f>
        <v>739.66666666666663</v>
      </c>
      <c r="CJ4" s="124">
        <f t="shared" ref="CJ4:CK4" si="89">2219/3</f>
        <v>739.66666666666663</v>
      </c>
      <c r="CK4" s="124">
        <f t="shared" si="89"/>
        <v>739.66666666666663</v>
      </c>
      <c r="CL4" s="124">
        <f>(4156-2219)/3</f>
        <v>645.66666666666663</v>
      </c>
      <c r="CM4" s="124">
        <f>CL4</f>
        <v>645.66666666666663</v>
      </c>
      <c r="CN4" s="124">
        <f>CM4</f>
        <v>645.66666666666663</v>
      </c>
      <c r="CO4" s="124">
        <f>(5616-4156)/3</f>
        <v>486.66666666666669</v>
      </c>
      <c r="CP4" s="124">
        <f>(5616-4156)/3</f>
        <v>486.66666666666669</v>
      </c>
      <c r="CQ4" s="124">
        <f>(5616-4156)/3</f>
        <v>486.66666666666669</v>
      </c>
      <c r="CR4" s="124">
        <f>(6617-5616)/3</f>
        <v>333.66666666666669</v>
      </c>
      <c r="CS4" s="124">
        <f t="shared" ref="CS4:CT4" si="90">(6617-5616)/3</f>
        <v>333.66666666666669</v>
      </c>
      <c r="CT4" s="124">
        <f t="shared" si="90"/>
        <v>333.66666666666669</v>
      </c>
      <c r="CU4" s="124">
        <f>1828/3</f>
        <v>609.33333333333337</v>
      </c>
      <c r="CV4" s="124">
        <f>CU4</f>
        <v>609.33333333333337</v>
      </c>
      <c r="CW4" s="124">
        <f>CV4</f>
        <v>609.33333333333337</v>
      </c>
      <c r="CX4" s="124">
        <f>(3541-1828)/3</f>
        <v>571</v>
      </c>
      <c r="CY4" s="124">
        <f>CX4</f>
        <v>571</v>
      </c>
      <c r="CZ4" s="124">
        <f>CY4</f>
        <v>571</v>
      </c>
      <c r="DA4" s="124">
        <v>484</v>
      </c>
      <c r="DB4" s="124">
        <v>484</v>
      </c>
      <c r="DC4" s="124">
        <v>484</v>
      </c>
      <c r="DD4" s="124">
        <v>545</v>
      </c>
      <c r="DE4" s="124">
        <v>545</v>
      </c>
      <c r="DF4" s="124">
        <v>546</v>
      </c>
      <c r="DG4" s="124">
        <f>1437/3</f>
        <v>479</v>
      </c>
      <c r="DH4" s="124">
        <v>479</v>
      </c>
      <c r="DI4" s="124">
        <v>479</v>
      </c>
      <c r="DJ4" s="124">
        <f>1091/3</f>
        <v>363.66666666666669</v>
      </c>
      <c r="DK4" s="124">
        <v>364</v>
      </c>
      <c r="DL4" s="124">
        <v>364</v>
      </c>
      <c r="DM4" s="124">
        <f>1569/3</f>
        <v>523</v>
      </c>
      <c r="DN4" s="124">
        <v>523</v>
      </c>
      <c r="DO4" s="124">
        <v>523</v>
      </c>
      <c r="DP4" s="672">
        <f>DO4</f>
        <v>523</v>
      </c>
      <c r="DQ4" s="672">
        <f t="shared" ref="DQ4:DR4" si="91">DP4</f>
        <v>523</v>
      </c>
      <c r="DR4" s="672">
        <f t="shared" si="91"/>
        <v>523</v>
      </c>
      <c r="DS4" s="124">
        <f>881/3</f>
        <v>293.66666666666669</v>
      </c>
      <c r="DT4" s="124">
        <f>881/3</f>
        <v>293.66666666666669</v>
      </c>
      <c r="DU4" s="124">
        <f>881/3</f>
        <v>293.66666666666669</v>
      </c>
    </row>
    <row r="5" spans="1:125">
      <c r="B5" s="87" t="s">
        <v>182</v>
      </c>
      <c r="C5" s="88">
        <f>SUMIF($C$51:C$51,"="&amp;YEAR(C3),$C$4:C$4)</f>
        <v>0</v>
      </c>
      <c r="D5" s="88">
        <f>SUMIF($C$51:D$51,"="&amp;YEAR(D3),$C$4:D$4)</f>
        <v>0</v>
      </c>
      <c r="E5" s="88">
        <f>SUMIF($C$51:E$51,"="&amp;YEAR(E3),$C$4:E$4)</f>
        <v>0</v>
      </c>
      <c r="F5" s="88">
        <f>SUMIF($C$51:F$51,"="&amp;YEAR(F3),$C$4:F$4)</f>
        <v>0</v>
      </c>
      <c r="G5" s="88">
        <f>SUMIF($C$51:G$51,"="&amp;YEAR(G3),$C$4:G$4)</f>
        <v>0</v>
      </c>
      <c r="H5" s="88">
        <f>SUMIF($C$51:H$51,"="&amp;YEAR(H3),$C$4:H$4)</f>
        <v>0</v>
      </c>
      <c r="I5" s="88">
        <f>SUMIF($C$51:I$51,"="&amp;YEAR(I3),$C$4:I$4)</f>
        <v>0</v>
      </c>
      <c r="J5" s="88">
        <f>SUMIF($C$51:J$51,"="&amp;YEAR(J3),$C$4:J$4)</f>
        <v>0</v>
      </c>
      <c r="K5" s="88">
        <f>SUMIF($C$51:K$51,"="&amp;YEAR(K3),$C$4:K$4)</f>
        <v>0</v>
      </c>
      <c r="L5" s="88">
        <f>SUMIF($C$51:L$51,"="&amp;YEAR(L3),$C$4:L$4)</f>
        <v>0</v>
      </c>
      <c r="M5" s="88">
        <f>SUMIF($C$51:M$51,"="&amp;YEAR(M3),$C$4:M$4)</f>
        <v>0</v>
      </c>
      <c r="N5" s="88">
        <f>SUMIF($C$51:N$51,"="&amp;YEAR(N3),$C$4:N$4)</f>
        <v>0</v>
      </c>
      <c r="O5" s="88">
        <f>SUMIF($C$51:O$51,"="&amp;YEAR(O3),$C$4:O$4)</f>
        <v>0</v>
      </c>
      <c r="P5" s="88">
        <f>SUMIF($C$51:P$51,"="&amp;YEAR(P3),$C$4:P$4)</f>
        <v>0</v>
      </c>
      <c r="Q5" s="88">
        <f>SUMIF($C$51:Q$51,"="&amp;YEAR(Q3),$C$4:Q$4)</f>
        <v>0</v>
      </c>
      <c r="R5" s="88">
        <f>SUMIF($C$51:R$51,"="&amp;YEAR(R3),$C$4:R$4)</f>
        <v>0</v>
      </c>
      <c r="S5" s="88">
        <f>SUMIF($C$51:S$51,"="&amp;YEAR(S3),$C$4:S$4)</f>
        <v>0</v>
      </c>
      <c r="T5" s="88">
        <f>SUMIF($C$51:T$51,"="&amp;YEAR(T3),$C$4:T$4)</f>
        <v>0</v>
      </c>
      <c r="U5" s="88">
        <f>SUMIF($C$51:U$51,"="&amp;YEAR(U3),$C$4:U$4)</f>
        <v>0</v>
      </c>
      <c r="V5" s="88">
        <f>SUMIF($C$51:V$51,"="&amp;YEAR(V3),$C$4:V$4)</f>
        <v>0</v>
      </c>
      <c r="W5" s="88">
        <f>SUMIF($C$51:W$51,"="&amp;YEAR(W3),$C$4:W$4)</f>
        <v>0</v>
      </c>
      <c r="X5" s="88">
        <f>SUMIF($C$51:X$51,"="&amp;YEAR(X3),$C$4:X$4)</f>
        <v>0</v>
      </c>
      <c r="Y5" s="88">
        <f>SUMIF($C$51:Y$51,"="&amp;YEAR(Y3),$C$4:Y$4)</f>
        <v>0</v>
      </c>
      <c r="Z5" s="88">
        <f>SUMIF($C$51:Z$51,"="&amp;YEAR(Z3),$C$4:Z$4)</f>
        <v>0</v>
      </c>
      <c r="AA5" s="88">
        <f>SUMIF($C$51:AA$51,"="&amp;YEAR(AA3),$C$4:AA$4)</f>
        <v>0</v>
      </c>
      <c r="AB5" s="88">
        <f>SUMIF($C$51:AB$51,"="&amp;YEAR(AB3),$C$4:AB$4)</f>
        <v>0</v>
      </c>
      <c r="AC5" s="88">
        <f>SUMIF($C$51:AC$51,"="&amp;YEAR(AC3),$C$4:AC$4)</f>
        <v>0</v>
      </c>
      <c r="AD5" s="88">
        <f>SUMIF($C$51:AD$51,"="&amp;YEAR(AD3),$C$4:AD$4)</f>
        <v>0</v>
      </c>
      <c r="AE5" s="88">
        <f>SUMIF($C$51:AE$51,"="&amp;YEAR(AE3),$C$4:AE$4)</f>
        <v>0</v>
      </c>
      <c r="AF5" s="88">
        <f>SUMIF($C$51:AF$51,"="&amp;YEAR(AF3),$C$4:AF$4)</f>
        <v>0</v>
      </c>
      <c r="AG5" s="88">
        <f>SUMIF($C$51:AG$51,"="&amp;YEAR(AG3),$C$4:AG$4)</f>
        <v>0</v>
      </c>
      <c r="AH5" s="88">
        <f>SUMIF($C$51:AH$51,"="&amp;YEAR(AH3),$C$4:AH$4)</f>
        <v>0</v>
      </c>
      <c r="AI5" s="88">
        <f>SUMIF($C$51:AI$51,"="&amp;YEAR(AI3),$C$4:AI$4)</f>
        <v>0</v>
      </c>
      <c r="AJ5" s="88">
        <f>SUMIF($C$51:AJ$51,"="&amp;YEAR(AJ3),$C$4:AJ$4)</f>
        <v>0</v>
      </c>
      <c r="AK5" s="88">
        <f>SUMIF($C$51:AK$51,"="&amp;YEAR(AK3),$C$4:AK$4)</f>
        <v>0</v>
      </c>
      <c r="AL5" s="88">
        <f>SUMIF($C$51:AL$51,"="&amp;YEAR(AL3),$C$4:AL$4)</f>
        <v>0</v>
      </c>
      <c r="AM5" s="88">
        <f>SUMIF($C$51:AM$51,"="&amp;YEAR(AM3),$C$4:AM$4)</f>
        <v>0</v>
      </c>
      <c r="AN5" s="88">
        <f>SUMIF($C$51:AN$51,"="&amp;YEAR(AN3),$C$4:AN$4)</f>
        <v>0</v>
      </c>
      <c r="AO5" s="88">
        <f>SUMIF($C$51:AO$51,"="&amp;YEAR(AO3),$C$4:AO$4)</f>
        <v>0</v>
      </c>
      <c r="AP5" s="88">
        <f>SUMIF($C$51:AP$51,"="&amp;YEAR(AP3),$C$4:AP$4)</f>
        <v>0</v>
      </c>
      <c r="AQ5" s="88">
        <f>SUMIF($C$51:AQ$51,"="&amp;YEAR(AQ3),$C$4:AQ$4)</f>
        <v>0</v>
      </c>
      <c r="AR5" s="88">
        <f>SUMIF($C$51:AR$51,"="&amp;YEAR(AR3),$C$4:AR$4)</f>
        <v>0</v>
      </c>
      <c r="AS5" s="88">
        <f>SUMIF($C$51:AS$51,"="&amp;YEAR(AS3),$C$4:AS$4)</f>
        <v>0</v>
      </c>
      <c r="AT5" s="88">
        <f>SUMIF($C$51:AT$51,"="&amp;YEAR(AT3),$C$4:AT$4)</f>
        <v>0</v>
      </c>
      <c r="AU5" s="88">
        <f>SUMIF($C$51:AU$51,"="&amp;YEAR(AU3),$C$4:AU$4)</f>
        <v>0</v>
      </c>
      <c r="AV5" s="88">
        <f>SUMIF($C$51:AV$51,"="&amp;YEAR(AV3),$C$4:AV$4)</f>
        <v>0</v>
      </c>
      <c r="AW5" s="88">
        <f>SUMIF($C$51:AW$51,"="&amp;YEAR(AW3),$C$4:AW$4)</f>
        <v>0</v>
      </c>
      <c r="AX5" s="88">
        <f>SUMIF($C$51:AX$51,"="&amp;YEAR(AX3),$C$4:AX$4)</f>
        <v>0</v>
      </c>
      <c r="AY5" s="88">
        <f>SUMIF($C$51:AY$51,"="&amp;YEAR(AY3),$C$4:AY$4)</f>
        <v>0</v>
      </c>
      <c r="AZ5" s="88">
        <f>SUMIF($C$51:AZ$51,"="&amp;YEAR(AZ3),$C$4:AZ$4)</f>
        <v>0</v>
      </c>
      <c r="BA5" s="88">
        <f>SUMIF($C$51:BA$51,"="&amp;YEAR(BA3),$C$4:BA$4)</f>
        <v>0</v>
      </c>
      <c r="BB5" s="88">
        <f>SUMIF($C$51:BB$51,"="&amp;YEAR(BB3),$C$4:BB$4)</f>
        <v>0</v>
      </c>
      <c r="BC5" s="88">
        <f>SUMIF($C$51:BC$51,"="&amp;YEAR(BC3),$C$4:BC$4)</f>
        <v>0</v>
      </c>
      <c r="BD5" s="88">
        <f>SUMIF($C$51:BD$51,"="&amp;YEAR(BD3),$C$4:BD$4)</f>
        <v>0</v>
      </c>
      <c r="BE5" s="88">
        <f>SUMIF($C$51:BE$51,"="&amp;YEAR(BE3),$C$4:BE$4)</f>
        <v>0</v>
      </c>
      <c r="BF5" s="88">
        <f>SUMIF($C$51:BF$51,"="&amp;YEAR(BF3),$C$4:BF$4)</f>
        <v>0</v>
      </c>
      <c r="BG5" s="88">
        <f>SUMIF($C$51:BG$51,"="&amp;YEAR(BG3),$C$4:BG$4)</f>
        <v>0</v>
      </c>
      <c r="BH5" s="88">
        <f>SUMIF($C$51:BH$51,"="&amp;YEAR(BH3),$C$4:BH$4)</f>
        <v>0</v>
      </c>
      <c r="BI5" s="88">
        <f>SUMIF($C$51:BI$51,"="&amp;YEAR(BI3),$C$4:BI$4)</f>
        <v>0</v>
      </c>
      <c r="BJ5" s="88">
        <f>SUMIF($C$51:BJ$51,"="&amp;YEAR(BJ3),$C$4:BJ$4)</f>
        <v>0</v>
      </c>
      <c r="BK5" s="88">
        <f>SUMIF($C$51:BK$51,"="&amp;YEAR(BK3),$C$4:BK$4)</f>
        <v>1743</v>
      </c>
      <c r="BL5" s="88">
        <f>SUMIF($C$51:BL$51,"="&amp;YEAR(BL3),$C$4:BL$4)</f>
        <v>3486</v>
      </c>
      <c r="BM5" s="88">
        <f>SUMIF($C$51:BM$51,"="&amp;YEAR(BM3),$C$4:BM$4)</f>
        <v>5229</v>
      </c>
      <c r="BN5" s="88">
        <f>SUMIF($C$51:BN$51,"="&amp;YEAR(BN3),$C$4:BN$4)</f>
        <v>5904</v>
      </c>
      <c r="BO5" s="88">
        <f>SUMIF($C$51:BO$51,"="&amp;YEAR(BO3),$C$4:BO$4)</f>
        <v>6579</v>
      </c>
      <c r="BP5" s="88">
        <f>SUMIF($C$51:BP$51,"="&amp;YEAR(BP3),$C$4:BP$4)</f>
        <v>7254</v>
      </c>
      <c r="BQ5" s="88">
        <f>SUMIF($C$51:BQ$51,"="&amp;YEAR(BQ3),$C$4:BQ$4)</f>
        <v>7517.333333333333</v>
      </c>
      <c r="BR5" s="88">
        <f>SUMIF($C$51:BR$51,"="&amp;YEAR(BR3),$C$4:BR$4)</f>
        <v>7780.6666666666661</v>
      </c>
      <c r="BS5" s="88">
        <f>SUMIF($C$51:BS$51,"="&amp;YEAR(BS3),$C$4:BS$4)</f>
        <v>8043.9999999999991</v>
      </c>
      <c r="BT5" s="88">
        <f>SUMIF($C$51:BT$51,"="&amp;YEAR(BT3),$C$4:BT$4)</f>
        <v>8540.3333333333321</v>
      </c>
      <c r="BU5" s="88">
        <f>SUMIF($C$51:BU$51,"="&amp;YEAR(BU3),$C$4:BU$4)</f>
        <v>9036.6666666666661</v>
      </c>
      <c r="BV5" s="88">
        <f>SUMIF($C$51:BV$51,"="&amp;YEAR(BV3),$C$4:BV$4)</f>
        <v>9533</v>
      </c>
      <c r="BW5" s="88">
        <f>SUMIF($C$51:BW$51,"="&amp;YEAR(BW3),$C$4:BW$4)</f>
        <v>657.66666666666663</v>
      </c>
      <c r="BX5" s="88">
        <f>SUMIF($C$51:BX$51,"="&amp;YEAR(BX3),$C$4:BX$4)</f>
        <v>1315.3333333333333</v>
      </c>
      <c r="BY5" s="88">
        <f>SUMIF($C$51:BY$51,"="&amp;YEAR(BY3),$C$4:BY$4)</f>
        <v>1973</v>
      </c>
      <c r="BZ5" s="88">
        <f>SUMIF($C$51:BZ$51,"="&amp;YEAR(BZ3),$C$4:BZ$4)</f>
        <v>2261</v>
      </c>
      <c r="CA5" s="88">
        <f>SUMIF($C$51:CA$51,"="&amp;YEAR(CA3),$C$4:CA$4)</f>
        <v>2549</v>
      </c>
      <c r="CB5" s="88">
        <f>SUMIF($C$51:CB$51,"="&amp;YEAR(CB3),$C$4:CB$4)</f>
        <v>2837</v>
      </c>
      <c r="CC5" s="88">
        <f>SUMIF($C$51:CC$51,"="&amp;YEAR(CC3),$C$4:CC$4)</f>
        <v>3349</v>
      </c>
      <c r="CD5" s="88">
        <f>SUMIF($C$51:CD$51,"="&amp;YEAR(CD3),$C$4:CD$4)</f>
        <v>3861</v>
      </c>
      <c r="CE5" s="88">
        <f>SUMIF($C$51:CE$51,"="&amp;YEAR(CE3),$C$4:CE$4)</f>
        <v>4373</v>
      </c>
      <c r="CF5" s="88">
        <f>SUMIF($C$51:CF$51,"="&amp;YEAR(CF3),$C$4:CF$4)</f>
        <v>4671.333333333333</v>
      </c>
      <c r="CG5" s="88">
        <f>SUMIF($C$51:CG$51,"="&amp;YEAR(CG3),$C$4:CG$4)</f>
        <v>4969.6666666666661</v>
      </c>
      <c r="CH5" s="88">
        <f>SUMIF($C$51:CH$51,"="&amp;YEAR(CH3),$C$4:CH$4)</f>
        <v>5267.9999999999991</v>
      </c>
      <c r="CI5" s="88">
        <f>SUMIF($C$51:CI$51,"="&amp;YEAR(CI3),$C$4:CI$4)</f>
        <v>739.66666666666663</v>
      </c>
      <c r="CJ5" s="88">
        <f>SUMIF($C$51:CJ$51,"="&amp;YEAR(CJ3),$C$4:CJ$4)</f>
        <v>1479.3333333333333</v>
      </c>
      <c r="CK5" s="88">
        <f>SUMIF($C$51:CK$51,"="&amp;YEAR(CK3),$C$4:CK$4)</f>
        <v>2219</v>
      </c>
      <c r="CL5" s="88">
        <f>SUMIF($C$51:CL$51,"="&amp;YEAR(CL3),$C$4:CL$4)</f>
        <v>2864.6666666666665</v>
      </c>
      <c r="CM5" s="88">
        <f>SUMIF($C$51:CM$51,"="&amp;YEAR(CM3),$C$4:CM$4)</f>
        <v>3510.333333333333</v>
      </c>
      <c r="CN5" s="88">
        <f>SUMIF($C$51:CN$51,"="&amp;YEAR(CN3),$C$4:CN$4)</f>
        <v>4156</v>
      </c>
      <c r="CO5" s="88">
        <f>SUMIF($C$51:CO$51,"="&amp;YEAR(CO3),$C$4:CO$4)</f>
        <v>4642.666666666667</v>
      </c>
      <c r="CP5" s="88">
        <f>SUMIF($C$51:CP$51,"="&amp;YEAR(CP3),$C$4:CP$4)</f>
        <v>5129.3333333333339</v>
      </c>
      <c r="CQ5" s="88">
        <f>SUMIF($C$51:CQ$51,"="&amp;YEAR(CQ3),$C$4:CQ$4)</f>
        <v>5616.0000000000009</v>
      </c>
      <c r="CR5" s="88">
        <f>SUMIF($C$51:CR$51,"="&amp;YEAR(CR3),$C$4:CR$4)</f>
        <v>5949.6666666666679</v>
      </c>
      <c r="CS5" s="88">
        <f>SUMIF($C$51:CS$51,"="&amp;YEAR(CS3),$C$4:CS$4)</f>
        <v>6283.3333333333348</v>
      </c>
      <c r="CT5" s="88">
        <f>SUMIF($C$51:CT$51,"="&amp;YEAR(CT3),$C$4:CT$4)</f>
        <v>6617.0000000000018</v>
      </c>
      <c r="CU5" s="88">
        <f>SUMIF($C$51:CU$51,"="&amp;YEAR(CU3),$C$4:CU$4)</f>
        <v>609.33333333333337</v>
      </c>
      <c r="CV5" s="88">
        <f>SUMIF($C$51:CV$51,"="&amp;YEAR(CV3),$C$4:CV$4)</f>
        <v>1218.6666666666667</v>
      </c>
      <c r="CW5" s="88">
        <f>SUMIF($C$51:CW$51,"="&amp;YEAR(CW3),$C$4:CW$4)</f>
        <v>1828</v>
      </c>
      <c r="CX5" s="88">
        <f>SUMIF($C$51:CX$51,"="&amp;YEAR(CX3),$C$4:CX$4)</f>
        <v>2399</v>
      </c>
      <c r="CY5" s="88">
        <f>SUMIF($C$51:CY$51,"="&amp;YEAR(CY3),$C$4:CY$4)</f>
        <v>2970</v>
      </c>
      <c r="CZ5" s="88">
        <f>SUMIF($C$51:CZ$51,"="&amp;YEAR(CZ3),$C$4:CZ$4)</f>
        <v>3541</v>
      </c>
      <c r="DA5" s="88">
        <f>SUMIF($C$51:DA$51,"="&amp;YEAR(DA3),$C$4:DA$4)</f>
        <v>4025</v>
      </c>
      <c r="DB5" s="88">
        <f>SUMIF($C$51:DB$51,"="&amp;YEAR(DB3),$C$4:DB$4)</f>
        <v>4509</v>
      </c>
      <c r="DC5" s="88">
        <f>SUMIF($C$51:DC$51,"="&amp;YEAR(DC3),$C$4:DC$4)</f>
        <v>4993</v>
      </c>
      <c r="DD5" s="88">
        <f>SUMIF($C$51:DD$51,"="&amp;YEAR(DD3),$C$4:DD$4)</f>
        <v>5538</v>
      </c>
      <c r="DE5" s="88">
        <f>SUMIF($C$51:DE$51,"="&amp;YEAR(DE3),$C$4:DE$4)</f>
        <v>6083</v>
      </c>
      <c r="DF5" s="88">
        <f>SUMIF($C$51:DF$51,"="&amp;YEAR(DF3),$C$4:DF$4)</f>
        <v>6629</v>
      </c>
      <c r="DG5" s="88">
        <f>SUMIF($C$51:DG$51,"="&amp;YEAR(DG3),$C$4:DG$4)</f>
        <v>479</v>
      </c>
      <c r="DH5" s="88">
        <f>SUMIF($C$51:DH$51,"="&amp;YEAR(DH3),$C$4:DH$4)</f>
        <v>958</v>
      </c>
      <c r="DI5" s="88">
        <f>SUMIF($C$51:DI$51,"="&amp;YEAR(DI3),$C$4:DI$4)</f>
        <v>1437</v>
      </c>
      <c r="DJ5" s="88">
        <f>SUMIF($C$51:DJ$51,"="&amp;YEAR(DJ3),$C$4:DJ$4)</f>
        <v>1800.6666666666667</v>
      </c>
      <c r="DK5" s="88">
        <f>SUMIF($C$51:DK$51,"="&amp;YEAR(DK3),$C$4:DK$4)</f>
        <v>2164.666666666667</v>
      </c>
      <c r="DL5" s="88">
        <f>SUMIF($C$51:DL$51,"="&amp;YEAR(DL3),$C$4:DL$4)</f>
        <v>2528.666666666667</v>
      </c>
      <c r="DM5" s="88">
        <f>SUMIF($C$51:DM$51,"="&amp;YEAR(DM3),$C$4:DM$4)</f>
        <v>3051.666666666667</v>
      </c>
      <c r="DN5" s="88">
        <f>SUMIF($C$51:DN$51,"="&amp;YEAR(DN3),$C$4:DN$4)</f>
        <v>3574.666666666667</v>
      </c>
      <c r="DO5" s="88">
        <f>SUMIF($C$51:DO$51,"="&amp;YEAR(DO3),$C$4:DO$4)</f>
        <v>4097.666666666667</v>
      </c>
      <c r="DP5" s="88">
        <f>SUMIF($C$51:DP$51,"="&amp;YEAR(DP3),$C$4:DP$4)</f>
        <v>4620.666666666667</v>
      </c>
      <c r="DQ5" s="88">
        <f>SUMIF($C$51:DQ$51,"="&amp;YEAR(DQ3),$C$4:DQ$4)</f>
        <v>5143.666666666667</v>
      </c>
      <c r="DR5" s="88">
        <f>SUMIF($C$51:DR$51,"="&amp;YEAR(DR3),$C$4:DR$4)</f>
        <v>5666.666666666667</v>
      </c>
      <c r="DS5" s="88">
        <f>SUMIF($C$51:DS$51,"="&amp;YEAR(DS3),$C$4:DS$4)</f>
        <v>293.66666666666669</v>
      </c>
      <c r="DT5" s="88">
        <f>SUMIF($C$51:DT$51,"="&amp;YEAR(DT3),$C$4:DT$4)</f>
        <v>587.33333333333337</v>
      </c>
      <c r="DU5" s="88">
        <f>SUMIF($C$51:DU$51,"="&amp;YEAR(DU3),$C$4:DU$4)</f>
        <v>881</v>
      </c>
    </row>
    <row r="6" spans="1:125">
      <c r="B6" s="87" t="s">
        <v>183</v>
      </c>
      <c r="C6" s="124" t="s">
        <v>174</v>
      </c>
      <c r="D6" s="124" t="s">
        <v>174</v>
      </c>
      <c r="E6" s="124" t="s">
        <v>174</v>
      </c>
      <c r="F6" s="124" t="s">
        <v>174</v>
      </c>
      <c r="G6" s="124" t="s">
        <v>174</v>
      </c>
      <c r="H6" s="124" t="s">
        <v>174</v>
      </c>
      <c r="I6" s="124" t="s">
        <v>174</v>
      </c>
      <c r="J6" s="124" t="s">
        <v>174</v>
      </c>
      <c r="K6" s="124" t="s">
        <v>174</v>
      </c>
      <c r="L6" s="124" t="s">
        <v>174</v>
      </c>
      <c r="M6" s="124" t="s">
        <v>174</v>
      </c>
      <c r="N6" s="88">
        <f t="shared" ref="N6:W6" si="92">SUM(C4:N4)</f>
        <v>0</v>
      </c>
      <c r="O6" s="88">
        <f t="shared" si="92"/>
        <v>0</v>
      </c>
      <c r="P6" s="88">
        <f t="shared" si="92"/>
        <v>0</v>
      </c>
      <c r="Q6" s="88">
        <f t="shared" si="92"/>
        <v>0</v>
      </c>
      <c r="R6" s="88">
        <f t="shared" si="92"/>
        <v>0</v>
      </c>
      <c r="S6" s="88">
        <f t="shared" si="92"/>
        <v>0</v>
      </c>
      <c r="T6" s="88">
        <f t="shared" si="92"/>
        <v>0</v>
      </c>
      <c r="U6" s="88">
        <f t="shared" si="92"/>
        <v>0</v>
      </c>
      <c r="V6" s="88">
        <f t="shared" si="92"/>
        <v>0</v>
      </c>
      <c r="W6" s="88">
        <f t="shared" si="92"/>
        <v>0</v>
      </c>
      <c r="X6" s="88">
        <f t="shared" ref="X6" si="93">SUM(M4:X4)</f>
        <v>0</v>
      </c>
      <c r="Y6" s="88">
        <f t="shared" ref="Y6" si="94">SUM(N4:Y4)</f>
        <v>0</v>
      </c>
      <c r="Z6" s="88">
        <f t="shared" ref="Z6" si="95">SUM(O4:Z4)</f>
        <v>0</v>
      </c>
      <c r="AA6" s="88">
        <f t="shared" ref="AA6" si="96">SUM(P4:AA4)</f>
        <v>0</v>
      </c>
      <c r="AB6" s="88">
        <f t="shared" ref="AB6" si="97">SUM(Q4:AB4)</f>
        <v>0</v>
      </c>
      <c r="AC6" s="88">
        <f t="shared" ref="AC6" si="98">SUM(R4:AC4)</f>
        <v>0</v>
      </c>
      <c r="AD6" s="88">
        <f t="shared" ref="AD6" si="99">SUM(S4:AD4)</f>
        <v>0</v>
      </c>
      <c r="AE6" s="88">
        <f t="shared" ref="AE6" si="100">SUM(T4:AE4)</f>
        <v>0</v>
      </c>
      <c r="AF6" s="88">
        <f t="shared" ref="AF6" si="101">SUM(U4:AF4)</f>
        <v>0</v>
      </c>
      <c r="AG6" s="88">
        <f t="shared" ref="AG6" si="102">SUM(V4:AG4)</f>
        <v>0</v>
      </c>
      <c r="AH6" s="88">
        <f t="shared" ref="AH6" si="103">SUM(W4:AH4)</f>
        <v>0</v>
      </c>
      <c r="AI6" s="88">
        <f t="shared" ref="AI6" si="104">SUM(X4:AI4)</f>
        <v>0</v>
      </c>
      <c r="AJ6" s="88">
        <f t="shared" ref="AJ6" si="105">SUM(Y4:AJ4)</f>
        <v>0</v>
      </c>
      <c r="AK6" s="88">
        <f t="shared" ref="AK6" si="106">SUM(Z4:AK4)</f>
        <v>0</v>
      </c>
      <c r="AL6" s="88">
        <f t="shared" ref="AL6" si="107">SUM(AA4:AL4)</f>
        <v>0</v>
      </c>
      <c r="AM6" s="88">
        <f t="shared" ref="AM6" si="108">SUM(AB4:AM4)</f>
        <v>0</v>
      </c>
      <c r="AN6" s="88">
        <f t="shared" ref="AN6" si="109">SUM(AC4:AN4)</f>
        <v>0</v>
      </c>
      <c r="AO6" s="88">
        <f t="shared" ref="AO6" si="110">SUM(AD4:AO4)</f>
        <v>0</v>
      </c>
      <c r="AP6" s="88">
        <f t="shared" ref="AP6" si="111">SUM(AE4:AP4)</f>
        <v>0</v>
      </c>
      <c r="AQ6" s="88">
        <f t="shared" ref="AQ6" si="112">SUM(AF4:AQ4)</f>
        <v>0</v>
      </c>
      <c r="AR6" s="88">
        <f t="shared" ref="AR6" si="113">SUM(AG4:AR4)</f>
        <v>0</v>
      </c>
      <c r="AS6" s="88">
        <f t="shared" ref="AS6" si="114">SUM(AH4:AS4)</f>
        <v>0</v>
      </c>
      <c r="AT6" s="88">
        <f t="shared" ref="AT6" si="115">SUM(AI4:AT4)</f>
        <v>0</v>
      </c>
      <c r="AU6" s="88">
        <f t="shared" ref="AU6" si="116">SUM(AJ4:AU4)</f>
        <v>0</v>
      </c>
      <c r="AV6" s="88">
        <f t="shared" ref="AV6" si="117">SUM(AK4:AV4)</f>
        <v>0</v>
      </c>
      <c r="AW6" s="88">
        <f t="shared" ref="AW6" si="118">SUM(AL4:AW4)</f>
        <v>0</v>
      </c>
      <c r="AX6" s="88">
        <f t="shared" ref="AX6" si="119">SUM(AM4:AX4)</f>
        <v>0</v>
      </c>
      <c r="AY6" s="88">
        <f t="shared" ref="AY6" si="120">SUM(AN4:AY4)</f>
        <v>0</v>
      </c>
      <c r="AZ6" s="88">
        <f t="shared" ref="AZ6" si="121">SUM(AO4:AZ4)</f>
        <v>0</v>
      </c>
      <c r="BA6" s="88">
        <f t="shared" ref="BA6" si="122">SUM(AP4:BA4)</f>
        <v>0</v>
      </c>
      <c r="BB6" s="88">
        <f t="shared" ref="BB6" si="123">SUM(AQ4:BB4)</f>
        <v>0</v>
      </c>
      <c r="BC6" s="88">
        <f t="shared" ref="BC6" si="124">SUM(AR4:BC4)</f>
        <v>0</v>
      </c>
      <c r="BD6" s="88">
        <f t="shared" ref="BD6" si="125">SUM(AS4:BD4)</f>
        <v>0</v>
      </c>
      <c r="BE6" s="88">
        <f t="shared" ref="BE6" si="126">SUM(AT4:BE4)</f>
        <v>0</v>
      </c>
      <c r="BF6" s="88">
        <f t="shared" ref="BF6" si="127">SUM(AU4:BF4)</f>
        <v>0</v>
      </c>
      <c r="BG6" s="88">
        <f t="shared" ref="BG6" si="128">SUM(AV4:BG4)</f>
        <v>0</v>
      </c>
      <c r="BH6" s="88">
        <f t="shared" ref="BH6" si="129">SUM(AW4:BH4)</f>
        <v>0</v>
      </c>
      <c r="BI6" s="88">
        <f t="shared" ref="BI6" si="130">SUM(AX4:BI4)</f>
        <v>0</v>
      </c>
      <c r="BJ6" s="88">
        <f t="shared" ref="BJ6" si="131">SUM(AY4:BJ4)</f>
        <v>0</v>
      </c>
      <c r="BK6" s="88">
        <f t="shared" ref="BK6" si="132">SUM(AZ4:BK4)</f>
        <v>1743</v>
      </c>
      <c r="BL6" s="88">
        <f t="shared" ref="BL6" si="133">SUM(BA4:BL4)</f>
        <v>3486</v>
      </c>
      <c r="BM6" s="88">
        <f t="shared" ref="BM6" si="134">SUM(BB4:BM4)</f>
        <v>5229</v>
      </c>
      <c r="BN6" s="88">
        <f t="shared" ref="BN6" si="135">SUM(BC4:BN4)</f>
        <v>5904</v>
      </c>
      <c r="BO6" s="88">
        <f t="shared" ref="BO6" si="136">SUM(BD4:BO4)</f>
        <v>6579</v>
      </c>
      <c r="BP6" s="88">
        <f t="shared" ref="BP6" si="137">SUM(BE4:BP4)</f>
        <v>7254</v>
      </c>
      <c r="BQ6" s="88">
        <f t="shared" ref="BQ6" si="138">SUM(BF4:BQ4)</f>
        <v>7517.333333333333</v>
      </c>
      <c r="BR6" s="88">
        <f t="shared" ref="BR6" si="139">SUM(BG4:BR4)</f>
        <v>7780.6666666666661</v>
      </c>
      <c r="BS6" s="88">
        <f t="shared" ref="BS6" si="140">SUM(BH4:BS4)</f>
        <v>8043.9999999999991</v>
      </c>
      <c r="BT6" s="88">
        <f t="shared" ref="BT6" si="141">SUM(BI4:BT4)</f>
        <v>8540.3333333333321</v>
      </c>
      <c r="BU6" s="88">
        <f t="shared" ref="BU6" si="142">SUM(BJ4:BU4)</f>
        <v>9036.6666666666661</v>
      </c>
      <c r="BV6" s="88">
        <f t="shared" ref="BV6" si="143">SUM(BK4:BV4)</f>
        <v>9533</v>
      </c>
      <c r="BW6" s="88">
        <f t="shared" ref="BW6" si="144">SUM(BL4:BW4)</f>
        <v>8447.6666666666679</v>
      </c>
      <c r="BX6" s="88">
        <f t="shared" ref="BX6" si="145">SUM(BM4:BX4)</f>
        <v>7362.3333333333358</v>
      </c>
      <c r="BY6" s="88">
        <f t="shared" ref="BY6" si="146">SUM(BN4:BY4)</f>
        <v>6277.0000000000018</v>
      </c>
      <c r="BZ6" s="88">
        <f t="shared" ref="BZ6" si="147">SUM(BO4:BZ4)</f>
        <v>5890.0000000000009</v>
      </c>
      <c r="CA6" s="88">
        <f t="shared" ref="CA6" si="148">SUM(BP4:CA4)</f>
        <v>5503.0000000000009</v>
      </c>
      <c r="CB6" s="88">
        <f t="shared" ref="CB6" si="149">SUM(BQ4:CB4)</f>
        <v>5116.0000000000009</v>
      </c>
      <c r="CC6" s="88">
        <f t="shared" ref="CC6" si="150">SUM(BR4:CC4)</f>
        <v>5364.6666666666679</v>
      </c>
      <c r="CD6" s="88">
        <f t="shared" ref="CD6" si="151">SUM(BS4:CD4)</f>
        <v>5613.3333333333339</v>
      </c>
      <c r="CE6" s="88">
        <f t="shared" ref="CE6" si="152">SUM(BT4:CE4)</f>
        <v>5862</v>
      </c>
      <c r="CF6" s="88">
        <f t="shared" ref="CF6" si="153">SUM(BU4:CF4)</f>
        <v>5664</v>
      </c>
      <c r="CG6" s="88">
        <f t="shared" ref="CG6" si="154">SUM(BV4:CG4)</f>
        <v>5466</v>
      </c>
      <c r="CH6" s="88">
        <f t="shared" ref="CH6" si="155">SUM(BW4:CH4)</f>
        <v>5267.9999999999991</v>
      </c>
      <c r="CI6" s="88">
        <f t="shared" ref="CI6" si="156">SUM(BX4:CI4)</f>
        <v>5350</v>
      </c>
      <c r="CJ6" s="88">
        <f t="shared" ref="CJ6" si="157">SUM(BY4:CJ4)</f>
        <v>5432.0000000000009</v>
      </c>
      <c r="CK6" s="88">
        <f t="shared" ref="CK6" si="158">SUM(BZ4:CK4)</f>
        <v>5514.0000000000009</v>
      </c>
      <c r="CL6" s="88">
        <f t="shared" ref="CL6" si="159">SUM(CA4:CL4)</f>
        <v>5871.6666666666679</v>
      </c>
      <c r="CM6" s="88">
        <f t="shared" ref="CM6" si="160">SUM(CB4:CM4)</f>
        <v>6229.3333333333348</v>
      </c>
      <c r="CN6" s="88">
        <f t="shared" ref="CN6" si="161">SUM(CC4:CN4)</f>
        <v>6587.0000000000009</v>
      </c>
      <c r="CO6" s="88">
        <f t="shared" ref="CO6" si="162">SUM(CD4:CO4)</f>
        <v>6561.6666666666679</v>
      </c>
      <c r="CP6" s="88">
        <f t="shared" ref="CP6" si="163">SUM(CE4:CP4)</f>
        <v>6536.3333333333339</v>
      </c>
      <c r="CQ6" s="88">
        <f t="shared" ref="CQ6" si="164">SUM(CF4:CQ4)</f>
        <v>6511.0000000000009</v>
      </c>
      <c r="CR6" s="88">
        <f t="shared" ref="CR6" si="165">SUM(CG4:CR4)</f>
        <v>6546.3333333333348</v>
      </c>
      <c r="CS6" s="88">
        <f t="shared" ref="CS6" si="166">SUM(CH4:CS4)</f>
        <v>6581.6666666666679</v>
      </c>
      <c r="CT6" s="88">
        <f t="shared" ref="CT6" si="167">SUM(CI4:CT4)</f>
        <v>6617.0000000000018</v>
      </c>
      <c r="CU6" s="88">
        <f t="shared" ref="CU6" si="168">SUM(CJ4:CU4)</f>
        <v>6486.666666666667</v>
      </c>
      <c r="CV6" s="88">
        <f t="shared" ref="CV6" si="169">SUM(CK4:CV4)</f>
        <v>6356.333333333333</v>
      </c>
      <c r="CW6" s="88">
        <f t="shared" ref="CW6" si="170">SUM(CL4:CW4)</f>
        <v>6225.9999999999982</v>
      </c>
      <c r="CX6" s="88">
        <f t="shared" ref="CX6" si="171">SUM(CM4:CX4)</f>
        <v>6151.3333333333321</v>
      </c>
      <c r="CY6" s="88">
        <f t="shared" ref="CY6" si="172">SUM(CN4:CY4)</f>
        <v>6076.6666666666661</v>
      </c>
      <c r="CZ6" s="88">
        <f t="shared" ref="CZ6" si="173">SUM(CO4:CZ4)</f>
        <v>6002</v>
      </c>
      <c r="DA6" s="88">
        <f t="shared" ref="DA6" si="174">SUM(CP4:DA4)</f>
        <v>5999.3333333333339</v>
      </c>
      <c r="DB6" s="88">
        <f t="shared" ref="DB6" si="175">SUM(CQ4:DB4)</f>
        <v>5996.666666666667</v>
      </c>
      <c r="DC6" s="88">
        <f t="shared" ref="DC6" si="176">SUM(CR4:DC4)</f>
        <v>5994</v>
      </c>
      <c r="DD6" s="88">
        <f t="shared" ref="DD6" si="177">SUM(CS4:DD4)</f>
        <v>6205.3333333333339</v>
      </c>
      <c r="DE6" s="88">
        <f t="shared" ref="DE6" si="178">SUM(CT4:DE4)</f>
        <v>6416.666666666667</v>
      </c>
      <c r="DF6" s="88">
        <f t="shared" ref="DF6" si="179">SUM(CU4:DF4)</f>
        <v>6629</v>
      </c>
      <c r="DG6" s="88">
        <f t="shared" ref="DG6" si="180">SUM(CV4:DG4)</f>
        <v>6498.666666666667</v>
      </c>
      <c r="DH6" s="88">
        <f t="shared" ref="DH6" si="181">SUM(CW4:DH4)</f>
        <v>6368.3333333333339</v>
      </c>
      <c r="DI6" s="88">
        <f t="shared" ref="DI6" si="182">SUM(CX4:DI4)</f>
        <v>6238</v>
      </c>
      <c r="DJ6" s="88">
        <f t="shared" ref="DJ6" si="183">SUM(CY4:DJ4)</f>
        <v>6030.666666666667</v>
      </c>
      <c r="DK6" s="88">
        <f t="shared" ref="DK6" si="184">SUM(CZ4:DK4)</f>
        <v>5823.666666666667</v>
      </c>
      <c r="DL6" s="88">
        <f t="shared" ref="DL6" si="185">SUM(DA4:DL4)</f>
        <v>5616.666666666667</v>
      </c>
      <c r="DM6" s="88">
        <f t="shared" ref="DM6" si="186">SUM(DB4:DM4)</f>
        <v>5655.666666666667</v>
      </c>
      <c r="DN6" s="88">
        <f t="shared" ref="DN6" si="187">SUM(DC4:DN4)</f>
        <v>5694.6666666666661</v>
      </c>
      <c r="DO6" s="88">
        <f t="shared" ref="DO6" si="188">SUM(DD4:DO4)</f>
        <v>5733.6666666666661</v>
      </c>
      <c r="DP6" s="88">
        <f t="shared" ref="DP6" si="189">SUM(DE4:DP4)</f>
        <v>5711.6666666666661</v>
      </c>
      <c r="DQ6" s="88">
        <f t="shared" ref="DQ6" si="190">SUM(DF4:DQ4)</f>
        <v>5689.6666666666661</v>
      </c>
      <c r="DR6" s="88">
        <f t="shared" ref="DR6" si="191">SUM(DG4:DR4)</f>
        <v>5666.666666666667</v>
      </c>
      <c r="DS6" s="88">
        <f t="shared" ref="DS6" si="192">SUM(DH4:DS4)</f>
        <v>5481.3333333333339</v>
      </c>
      <c r="DT6" s="88">
        <f t="shared" ref="DT6:DU6" si="193">SUM(DI4:DT4)</f>
        <v>5296.0000000000009</v>
      </c>
      <c r="DU6" s="88">
        <f t="shared" si="193"/>
        <v>5110.6666666666679</v>
      </c>
    </row>
    <row r="8" spans="1:125">
      <c r="B8" s="247" t="s">
        <v>184</v>
      </c>
      <c r="C8" s="248">
        <f>$C$3</f>
        <v>42400</v>
      </c>
      <c r="D8" s="248">
        <f>EOMONTH(C8,1)</f>
        <v>42429</v>
      </c>
      <c r="E8" s="248">
        <f t="shared" ref="E8:AE8" si="194">EOMONTH(D8,1)</f>
        <v>42460</v>
      </c>
      <c r="F8" s="248">
        <f t="shared" si="194"/>
        <v>42490</v>
      </c>
      <c r="G8" s="248">
        <f t="shared" si="194"/>
        <v>42521</v>
      </c>
      <c r="H8" s="248">
        <f t="shared" si="194"/>
        <v>42551</v>
      </c>
      <c r="I8" s="248">
        <f t="shared" si="194"/>
        <v>42582</v>
      </c>
      <c r="J8" s="248">
        <f t="shared" si="194"/>
        <v>42613</v>
      </c>
      <c r="K8" s="248">
        <f t="shared" si="194"/>
        <v>42643</v>
      </c>
      <c r="L8" s="248">
        <f t="shared" si="194"/>
        <v>42674</v>
      </c>
      <c r="M8" s="248">
        <f t="shared" si="194"/>
        <v>42704</v>
      </c>
      <c r="N8" s="248">
        <f t="shared" si="194"/>
        <v>42735</v>
      </c>
      <c r="O8" s="248">
        <f t="shared" si="194"/>
        <v>42766</v>
      </c>
      <c r="P8" s="248">
        <f t="shared" si="194"/>
        <v>42794</v>
      </c>
      <c r="Q8" s="248">
        <f t="shared" si="194"/>
        <v>42825</v>
      </c>
      <c r="R8" s="248">
        <f t="shared" si="194"/>
        <v>42855</v>
      </c>
      <c r="S8" s="248">
        <f t="shared" si="194"/>
        <v>42886</v>
      </c>
      <c r="T8" s="248">
        <f t="shared" si="194"/>
        <v>42916</v>
      </c>
      <c r="U8" s="248">
        <f t="shared" si="194"/>
        <v>42947</v>
      </c>
      <c r="V8" s="248">
        <f t="shared" si="194"/>
        <v>42978</v>
      </c>
      <c r="W8" s="248">
        <f t="shared" si="194"/>
        <v>43008</v>
      </c>
      <c r="X8" s="248">
        <f t="shared" si="194"/>
        <v>43039</v>
      </c>
      <c r="Y8" s="248">
        <f t="shared" si="194"/>
        <v>43069</v>
      </c>
      <c r="Z8" s="248">
        <f t="shared" si="194"/>
        <v>43100</v>
      </c>
      <c r="AA8" s="248">
        <f t="shared" si="194"/>
        <v>43131</v>
      </c>
      <c r="AB8" s="248">
        <f t="shared" si="194"/>
        <v>43159</v>
      </c>
      <c r="AC8" s="248">
        <f t="shared" si="194"/>
        <v>43190</v>
      </c>
      <c r="AD8" s="248">
        <f t="shared" si="194"/>
        <v>43220</v>
      </c>
      <c r="AE8" s="248">
        <f t="shared" si="194"/>
        <v>43251</v>
      </c>
      <c r="AF8" s="248">
        <f t="shared" ref="AF8" si="195">EOMONTH(AE8,1)</f>
        <v>43281</v>
      </c>
      <c r="AG8" s="248">
        <f t="shared" ref="AG8" si="196">EOMONTH(AF8,1)</f>
        <v>43312</v>
      </c>
      <c r="AH8" s="248">
        <f t="shared" ref="AH8" si="197">EOMONTH(AG8,1)</f>
        <v>43343</v>
      </c>
      <c r="AI8" s="248">
        <f t="shared" ref="AI8" si="198">EOMONTH(AH8,1)</f>
        <v>43373</v>
      </c>
      <c r="AJ8" s="248">
        <f t="shared" ref="AJ8" si="199">EOMONTH(AI8,1)</f>
        <v>43404</v>
      </c>
      <c r="AK8" s="248">
        <f t="shared" ref="AK8" si="200">EOMONTH(AJ8,1)</f>
        <v>43434</v>
      </c>
      <c r="AL8" s="248">
        <f t="shared" ref="AL8" si="201">EOMONTH(AK8,1)</f>
        <v>43465</v>
      </c>
      <c r="AM8" s="248">
        <f t="shared" ref="AM8" si="202">EOMONTH(AL8,1)</f>
        <v>43496</v>
      </c>
      <c r="AN8" s="248">
        <f t="shared" ref="AN8" si="203">EOMONTH(AM8,1)</f>
        <v>43524</v>
      </c>
      <c r="AO8" s="248">
        <f t="shared" ref="AO8" si="204">EOMONTH(AN8,1)</f>
        <v>43555</v>
      </c>
      <c r="AP8" s="248">
        <f t="shared" ref="AP8" si="205">EOMONTH(AO8,1)</f>
        <v>43585</v>
      </c>
      <c r="AQ8" s="248">
        <f t="shared" ref="AQ8" si="206">EOMONTH(AP8,1)</f>
        <v>43616</v>
      </c>
      <c r="AR8" s="248">
        <f t="shared" ref="AR8" si="207">EOMONTH(AQ8,1)</f>
        <v>43646</v>
      </c>
      <c r="AS8" s="248">
        <f t="shared" ref="AS8" si="208">EOMONTH(AR8,1)</f>
        <v>43677</v>
      </c>
      <c r="AT8" s="248">
        <f t="shared" ref="AT8" si="209">EOMONTH(AS8,1)</f>
        <v>43708</v>
      </c>
      <c r="AU8" s="248">
        <f t="shared" ref="AU8" si="210">EOMONTH(AT8,1)</f>
        <v>43738</v>
      </c>
      <c r="AV8" s="248">
        <f t="shared" ref="AV8" si="211">EOMONTH(AU8,1)</f>
        <v>43769</v>
      </c>
      <c r="AW8" s="248">
        <f t="shared" ref="AW8" si="212">EOMONTH(AV8,1)</f>
        <v>43799</v>
      </c>
      <c r="AX8" s="248">
        <f t="shared" ref="AX8" si="213">EOMONTH(AW8,1)</f>
        <v>43830</v>
      </c>
      <c r="AY8" s="248">
        <f t="shared" ref="AY8" si="214">EOMONTH(AX8,1)</f>
        <v>43861</v>
      </c>
      <c r="AZ8" s="248">
        <f t="shared" ref="AZ8" si="215">EOMONTH(AY8,1)</f>
        <v>43890</v>
      </c>
      <c r="BA8" s="248">
        <f t="shared" ref="BA8" si="216">EOMONTH(AZ8,1)</f>
        <v>43921</v>
      </c>
      <c r="BB8" s="248">
        <f t="shared" ref="BB8" si="217">EOMONTH(BA8,1)</f>
        <v>43951</v>
      </c>
      <c r="BC8" s="248">
        <f t="shared" ref="BC8" si="218">EOMONTH(BB8,1)</f>
        <v>43982</v>
      </c>
      <c r="BD8" s="248">
        <f t="shared" ref="BD8" si="219">EOMONTH(BC8,1)</f>
        <v>44012</v>
      </c>
      <c r="BE8" s="248">
        <f t="shared" ref="BE8" si="220">EOMONTH(BD8,1)</f>
        <v>44043</v>
      </c>
      <c r="BF8" s="248">
        <f t="shared" ref="BF8" si="221">EOMONTH(BE8,1)</f>
        <v>44074</v>
      </c>
      <c r="BG8" s="248">
        <f t="shared" ref="BG8" si="222">EOMONTH(BF8,1)</f>
        <v>44104</v>
      </c>
      <c r="BH8" s="248">
        <f t="shared" ref="BH8" si="223">EOMONTH(BG8,1)</f>
        <v>44135</v>
      </c>
      <c r="BI8" s="248">
        <f t="shared" ref="BI8" si="224">EOMONTH(BH8,1)</f>
        <v>44165</v>
      </c>
      <c r="BJ8" s="248">
        <f t="shared" ref="BJ8" si="225">EOMONTH(BI8,1)</f>
        <v>44196</v>
      </c>
      <c r="BK8" s="248">
        <f t="shared" ref="BK8" si="226">EOMONTH(BJ8,1)</f>
        <v>44227</v>
      </c>
      <c r="BL8" s="248">
        <f t="shared" ref="BL8" si="227">EOMONTH(BK8,1)</f>
        <v>44255</v>
      </c>
      <c r="BM8" s="248">
        <f t="shared" ref="BM8" si="228">EOMONTH(BL8,1)</f>
        <v>44286</v>
      </c>
      <c r="BN8" s="248">
        <f t="shared" ref="BN8" si="229">EOMONTH(BM8,1)</f>
        <v>44316</v>
      </c>
      <c r="BO8" s="248">
        <f t="shared" ref="BO8" si="230">EOMONTH(BN8,1)</f>
        <v>44347</v>
      </c>
      <c r="BP8" s="248">
        <f t="shared" ref="BP8" si="231">EOMONTH(BO8,1)</f>
        <v>44377</v>
      </c>
      <c r="BQ8" s="248">
        <f t="shared" ref="BQ8" si="232">EOMONTH(BP8,1)</f>
        <v>44408</v>
      </c>
      <c r="BR8" s="248">
        <f t="shared" ref="BR8" si="233">EOMONTH(BQ8,1)</f>
        <v>44439</v>
      </c>
      <c r="BS8" s="248">
        <f t="shared" ref="BS8" si="234">EOMONTH(BR8,1)</f>
        <v>44469</v>
      </c>
      <c r="BT8" s="248">
        <f t="shared" ref="BT8" si="235">EOMONTH(BS8,1)</f>
        <v>44500</v>
      </c>
      <c r="BU8" s="248">
        <f>EOMONTH(BT8,1)</f>
        <v>44530</v>
      </c>
      <c r="BV8" s="248">
        <f t="shared" ref="BV8:BW8" si="236">EOMONTH(BU8,1)</f>
        <v>44561</v>
      </c>
      <c r="BW8" s="248">
        <f t="shared" si="236"/>
        <v>44592</v>
      </c>
      <c r="BX8" s="248">
        <f t="shared" ref="BX8:BY8" si="237">EOMONTH(BW8,1)</f>
        <v>44620</v>
      </c>
      <c r="BY8" s="248">
        <f t="shared" si="237"/>
        <v>44651</v>
      </c>
      <c r="BZ8" s="248">
        <f t="shared" ref="BZ8:CA8" si="238">EOMONTH(BY8,1)</f>
        <v>44681</v>
      </c>
      <c r="CA8" s="248">
        <f t="shared" si="238"/>
        <v>44712</v>
      </c>
      <c r="CB8" s="248">
        <f t="shared" ref="CB8:CC8" si="239">EOMONTH(CA8,1)</f>
        <v>44742</v>
      </c>
      <c r="CC8" s="248">
        <f t="shared" si="239"/>
        <v>44773</v>
      </c>
      <c r="CD8" s="248">
        <f t="shared" ref="CD8" si="240">EOMONTH(CC8,1)</f>
        <v>44804</v>
      </c>
      <c r="CE8" s="248">
        <f t="shared" ref="CE8" si="241">EOMONTH(CD8,1)</f>
        <v>44834</v>
      </c>
      <c r="CF8" s="248">
        <f t="shared" ref="CF8" si="242">EOMONTH(CE8,1)</f>
        <v>44865</v>
      </c>
      <c r="CG8" s="248">
        <f t="shared" ref="CG8" si="243">EOMONTH(CF8,1)</f>
        <v>44895</v>
      </c>
      <c r="CH8" s="248">
        <f t="shared" ref="CH8" si="244">EOMONTH(CG8,1)</f>
        <v>44926</v>
      </c>
      <c r="CI8" s="248">
        <f t="shared" ref="CI8" si="245">EOMONTH(CH8,1)</f>
        <v>44957</v>
      </c>
      <c r="CJ8" s="248">
        <f t="shared" ref="CJ8" si="246">EOMONTH(CI8,1)</f>
        <v>44985</v>
      </c>
      <c r="CK8" s="248">
        <f t="shared" ref="CK8" si="247">EOMONTH(CJ8,1)</f>
        <v>45016</v>
      </c>
      <c r="CL8" s="248">
        <f t="shared" ref="CL8" si="248">EOMONTH(CK8,1)</f>
        <v>45046</v>
      </c>
      <c r="CM8" s="248">
        <f t="shared" ref="CM8" si="249">EOMONTH(CL8,1)</f>
        <v>45077</v>
      </c>
      <c r="CN8" s="248">
        <f t="shared" ref="CN8" si="250">EOMONTH(CM8,1)</f>
        <v>45107</v>
      </c>
      <c r="CO8" s="248">
        <f t="shared" ref="CO8" si="251">EOMONTH(CN8,1)</f>
        <v>45138</v>
      </c>
      <c r="CP8" s="248">
        <f t="shared" ref="CP8" si="252">EOMONTH(CO8,1)</f>
        <v>45169</v>
      </c>
      <c r="CQ8" s="248">
        <f t="shared" ref="CQ8" si="253">EOMONTH(CP8,1)</f>
        <v>45199</v>
      </c>
      <c r="CR8" s="248">
        <f t="shared" ref="CR8" si="254">EOMONTH(CQ8,1)</f>
        <v>45230</v>
      </c>
      <c r="CS8" s="248">
        <f t="shared" ref="CS8" si="255">EOMONTH(CR8,1)</f>
        <v>45260</v>
      </c>
      <c r="CT8" s="248">
        <f t="shared" ref="CT8" si="256">EOMONTH(CS8,1)</f>
        <v>45291</v>
      </c>
      <c r="CU8" s="248">
        <f t="shared" ref="CU8" si="257">EOMONTH(CT8,1)</f>
        <v>45322</v>
      </c>
      <c r="CV8" s="248">
        <f t="shared" ref="CV8" si="258">EOMONTH(CU8,1)</f>
        <v>45351</v>
      </c>
      <c r="CW8" s="248">
        <f t="shared" ref="CW8" si="259">EOMONTH(CV8,1)</f>
        <v>45382</v>
      </c>
      <c r="CX8" s="248">
        <f t="shared" ref="CX8" si="260">EOMONTH(CW8,1)</f>
        <v>45412</v>
      </c>
      <c r="CY8" s="248">
        <f t="shared" ref="CY8" si="261">EOMONTH(CX8,1)</f>
        <v>45443</v>
      </c>
      <c r="CZ8" s="248">
        <f t="shared" ref="CZ8" si="262">EOMONTH(CY8,1)</f>
        <v>45473</v>
      </c>
      <c r="DA8" s="248">
        <f t="shared" ref="DA8" si="263">EOMONTH(CZ8,1)</f>
        <v>45504</v>
      </c>
      <c r="DB8" s="248">
        <f t="shared" ref="DB8" si="264">EOMONTH(DA8,1)</f>
        <v>45535</v>
      </c>
      <c r="DC8" s="248">
        <f t="shared" ref="DC8" si="265">EOMONTH(DB8,1)</f>
        <v>45565</v>
      </c>
      <c r="DD8" s="248">
        <f t="shared" ref="DD8" si="266">EOMONTH(DC8,1)</f>
        <v>45596</v>
      </c>
      <c r="DE8" s="248">
        <f t="shared" ref="DE8" si="267">EOMONTH(DD8,1)</f>
        <v>45626</v>
      </c>
      <c r="DF8" s="248">
        <f t="shared" ref="DF8" si="268">EOMONTH(DE8,1)</f>
        <v>45657</v>
      </c>
      <c r="DG8" s="248">
        <f t="shared" ref="DG8" si="269">EOMONTH(DF8,1)</f>
        <v>45688</v>
      </c>
      <c r="DH8" s="248">
        <f t="shared" ref="DH8" si="270">EOMONTH(DG8,1)</f>
        <v>45716</v>
      </c>
      <c r="DI8" s="248">
        <f t="shared" ref="DI8" si="271">EOMONTH(DH8,1)</f>
        <v>45747</v>
      </c>
      <c r="DJ8" s="248">
        <f t="shared" ref="DJ8" si="272">EOMONTH(DI8,1)</f>
        <v>45777</v>
      </c>
      <c r="DK8" s="248">
        <f t="shared" ref="DK8" si="273">EOMONTH(DJ8,1)</f>
        <v>45808</v>
      </c>
      <c r="DL8" s="248">
        <f t="shared" ref="DL8" si="274">EOMONTH(DK8,1)</f>
        <v>45838</v>
      </c>
      <c r="DM8" s="248">
        <f t="shared" ref="DM8" si="275">EOMONTH(DL8,1)</f>
        <v>45869</v>
      </c>
      <c r="DN8" s="248">
        <f t="shared" ref="DN8" si="276">EOMONTH(DM8,1)</f>
        <v>45900</v>
      </c>
      <c r="DO8" s="248">
        <f t="shared" ref="DO8" si="277">EOMONTH(DN8,1)</f>
        <v>45930</v>
      </c>
      <c r="DP8" s="248">
        <f t="shared" ref="DP8" si="278">EOMONTH(DO8,1)</f>
        <v>45961</v>
      </c>
      <c r="DQ8" s="248">
        <f t="shared" ref="DQ8" si="279">EOMONTH(DP8,1)</f>
        <v>45991</v>
      </c>
      <c r="DR8" s="248">
        <f t="shared" ref="DR8" si="280">EOMONTH(DQ8,1)</f>
        <v>46022</v>
      </c>
      <c r="DS8" s="248">
        <f t="shared" ref="DS8" si="281">EOMONTH(DR8,1)</f>
        <v>46053</v>
      </c>
      <c r="DT8" s="248">
        <f t="shared" ref="DT8:DU8" si="282">EOMONTH(DS8,1)</f>
        <v>46081</v>
      </c>
      <c r="DU8" s="248">
        <f t="shared" si="282"/>
        <v>46112</v>
      </c>
    </row>
    <row r="9" spans="1:125">
      <c r="B9" s="372" t="s">
        <v>185</v>
      </c>
      <c r="C9" s="124">
        <v>0</v>
      </c>
      <c r="D9" s="124">
        <v>0</v>
      </c>
      <c r="E9" s="124">
        <v>844</v>
      </c>
      <c r="F9" s="124">
        <v>0</v>
      </c>
      <c r="G9" s="124">
        <v>0</v>
      </c>
      <c r="H9" s="124">
        <v>1128</v>
      </c>
      <c r="I9" s="124">
        <v>0</v>
      </c>
      <c r="J9" s="124">
        <v>711</v>
      </c>
      <c r="K9" s="124">
        <v>341</v>
      </c>
      <c r="L9" s="124">
        <v>0</v>
      </c>
      <c r="M9" s="124">
        <v>0</v>
      </c>
      <c r="N9" s="124">
        <v>380</v>
      </c>
      <c r="O9" s="124">
        <v>0</v>
      </c>
      <c r="P9" s="124">
        <v>0</v>
      </c>
      <c r="Q9" s="125">
        <v>844</v>
      </c>
      <c r="R9" s="124">
        <v>0</v>
      </c>
      <c r="S9" s="124">
        <v>0</v>
      </c>
      <c r="T9" s="124">
        <v>1428</v>
      </c>
      <c r="U9" s="124">
        <v>0</v>
      </c>
      <c r="V9" s="124">
        <v>0</v>
      </c>
      <c r="W9" s="124">
        <v>1729</v>
      </c>
      <c r="X9" s="124">
        <v>0</v>
      </c>
      <c r="Y9" s="124">
        <v>0</v>
      </c>
      <c r="Z9" s="124">
        <v>1658</v>
      </c>
      <c r="AA9" s="124">
        <v>0</v>
      </c>
      <c r="AB9" s="124">
        <v>0</v>
      </c>
      <c r="AC9" s="124">
        <v>1244</v>
      </c>
      <c r="AD9" s="124">
        <v>0</v>
      </c>
      <c r="AE9" s="124">
        <v>0</v>
      </c>
      <c r="AF9" s="124">
        <v>1815</v>
      </c>
      <c r="AG9" s="124">
        <v>0</v>
      </c>
      <c r="AH9" s="124">
        <v>0</v>
      </c>
      <c r="AI9" s="124">
        <v>1729</v>
      </c>
      <c r="AJ9" s="124">
        <v>0</v>
      </c>
      <c r="AK9" s="124">
        <v>0</v>
      </c>
      <c r="AL9" s="124">
        <v>1724</v>
      </c>
      <c r="AM9" s="124">
        <v>0</v>
      </c>
      <c r="AN9" s="124">
        <v>0</v>
      </c>
      <c r="AO9" s="124">
        <v>1228</v>
      </c>
      <c r="AP9" s="124">
        <v>0</v>
      </c>
      <c r="AQ9" s="124">
        <v>0</v>
      </c>
      <c r="AR9" s="124">
        <v>1815</v>
      </c>
      <c r="AS9" s="124">
        <v>0</v>
      </c>
      <c r="AT9" s="124">
        <v>0</v>
      </c>
      <c r="AU9" s="124">
        <v>2132</v>
      </c>
      <c r="AV9" s="124">
        <v>0</v>
      </c>
      <c r="AW9" s="124">
        <v>0</v>
      </c>
      <c r="AX9" s="124">
        <v>2515</v>
      </c>
      <c r="AY9" s="124">
        <v>0</v>
      </c>
      <c r="AZ9" s="124">
        <v>0</v>
      </c>
      <c r="BA9" s="124">
        <v>1835</v>
      </c>
      <c r="BB9" s="124"/>
      <c r="BC9" s="124"/>
      <c r="BD9" s="124">
        <v>1944</v>
      </c>
      <c r="BE9" s="124"/>
      <c r="BF9" s="124"/>
      <c r="BG9" s="124">
        <v>2091</v>
      </c>
      <c r="BH9" s="124"/>
      <c r="BI9" s="124"/>
      <c r="BJ9" s="124">
        <v>3469</v>
      </c>
      <c r="BK9" s="124"/>
      <c r="BL9" s="124"/>
      <c r="BM9" s="124">
        <v>2561</v>
      </c>
      <c r="BN9" s="124"/>
      <c r="BO9" s="124"/>
      <c r="BP9" s="124">
        <f>2856</f>
        <v>2856</v>
      </c>
      <c r="BQ9" s="124"/>
      <c r="BR9" s="124"/>
      <c r="BS9" s="124">
        <f>2499</f>
        <v>2499</v>
      </c>
      <c r="BT9" s="124"/>
      <c r="BU9" s="124"/>
      <c r="BV9" s="550">
        <f>(10442-BS9-BP9-BM9)</f>
        <v>2526</v>
      </c>
      <c r="BW9" s="124"/>
      <c r="BX9" s="124"/>
      <c r="BY9" s="124">
        <f>1599</f>
        <v>1599</v>
      </c>
      <c r="BZ9" s="124"/>
      <c r="CA9" s="124"/>
      <c r="CB9" s="124">
        <f>2027</f>
        <v>2027</v>
      </c>
      <c r="CC9" s="124"/>
      <c r="CD9" s="124"/>
      <c r="CE9" s="124">
        <f>1547</f>
        <v>1547</v>
      </c>
      <c r="CF9" s="124"/>
      <c r="CG9" s="124"/>
      <c r="CH9" s="124">
        <f>(6621-CE10)</f>
        <v>1448</v>
      </c>
      <c r="CI9" s="124">
        <f>1366/3</f>
        <v>455.33333333333331</v>
      </c>
      <c r="CJ9" s="124">
        <f>CI9</f>
        <v>455.33333333333331</v>
      </c>
      <c r="CK9" s="124">
        <f>CJ9</f>
        <v>455.33333333333331</v>
      </c>
      <c r="CL9" s="124">
        <f>1854/3</f>
        <v>618</v>
      </c>
      <c r="CM9" s="124">
        <f>CL9</f>
        <v>618</v>
      </c>
      <c r="CN9" s="124">
        <f>CM9</f>
        <v>618</v>
      </c>
      <c r="CO9" s="124">
        <f>1751/3</f>
        <v>583.66666666666663</v>
      </c>
      <c r="CP9" s="124">
        <f>CO9</f>
        <v>583.66666666666663</v>
      </c>
      <c r="CQ9" s="124">
        <f>CP9</f>
        <v>583.66666666666663</v>
      </c>
      <c r="CR9" s="124">
        <f>1758/3</f>
        <v>586</v>
      </c>
      <c r="CS9" s="124">
        <f>CR9</f>
        <v>586</v>
      </c>
      <c r="CT9" s="124">
        <f>CS9</f>
        <v>586</v>
      </c>
      <c r="CU9" s="124">
        <f>1083/3</f>
        <v>361</v>
      </c>
      <c r="CV9" s="124">
        <f>CU9</f>
        <v>361</v>
      </c>
      <c r="CW9" s="124">
        <f>CV9</f>
        <v>361</v>
      </c>
      <c r="CX9" s="124">
        <f>1655/3</f>
        <v>551.66666666666663</v>
      </c>
      <c r="CY9" s="124">
        <f>CX9</f>
        <v>551.66666666666663</v>
      </c>
      <c r="CZ9" s="124">
        <f>CY9</f>
        <v>551.66666666666663</v>
      </c>
      <c r="DA9" s="124">
        <v>586</v>
      </c>
      <c r="DB9" s="124">
        <v>586</v>
      </c>
      <c r="DC9" s="124">
        <v>585</v>
      </c>
      <c r="DD9" s="124">
        <f>+(6131-SUM(CU9:DC9))/3</f>
        <v>545.33333333333337</v>
      </c>
      <c r="DE9" s="124">
        <v>545</v>
      </c>
      <c r="DF9" s="124">
        <v>546</v>
      </c>
      <c r="DG9" s="124">
        <v>332</v>
      </c>
      <c r="DH9" s="124">
        <v>332</v>
      </c>
      <c r="DI9" s="124">
        <v>332</v>
      </c>
      <c r="DJ9" s="124">
        <v>441</v>
      </c>
      <c r="DK9" s="124">
        <v>441</v>
      </c>
      <c r="DL9" s="124">
        <v>441</v>
      </c>
      <c r="DM9" s="124">
        <f>1065/3</f>
        <v>355</v>
      </c>
      <c r="DN9" s="124">
        <v>355</v>
      </c>
      <c r="DO9" s="124">
        <v>355</v>
      </c>
      <c r="DP9" s="672">
        <f>DO9</f>
        <v>355</v>
      </c>
      <c r="DQ9" s="672">
        <f t="shared" ref="DQ9" si="283">DP9</f>
        <v>355</v>
      </c>
      <c r="DR9" s="672">
        <f>DQ9</f>
        <v>355</v>
      </c>
      <c r="DS9" s="124">
        <v>293.66666666666669</v>
      </c>
      <c r="DT9" s="124">
        <v>293.66666666666669</v>
      </c>
      <c r="DU9" s="124">
        <v>293.66666666666669</v>
      </c>
    </row>
    <row r="10" spans="1:125">
      <c r="B10" s="87" t="s">
        <v>186</v>
      </c>
      <c r="C10" s="88">
        <f>SUMIF($C$51:C$51,"="&amp;YEAR(C8),$C$9:C$9)</f>
        <v>0</v>
      </c>
      <c r="D10" s="88">
        <f>SUMIF($C$51:D$51,"="&amp;YEAR(D8),$C$9:D$9)</f>
        <v>0</v>
      </c>
      <c r="E10" s="88">
        <f>SUMIF($C$51:E$51,"="&amp;YEAR(E8),$C$9:E$9)</f>
        <v>844</v>
      </c>
      <c r="F10" s="88">
        <f>SUMIF($C$51:F$51,"="&amp;YEAR(F8),$C$9:F$9)</f>
        <v>844</v>
      </c>
      <c r="G10" s="88">
        <f>SUMIF($C$51:G$51,"="&amp;YEAR(G8),$C$9:G$9)</f>
        <v>844</v>
      </c>
      <c r="H10" s="88">
        <f>SUMIF($C$51:H$51,"="&amp;YEAR(H8),$C$9:H$9)</f>
        <v>1972</v>
      </c>
      <c r="I10" s="88">
        <f>SUMIF($C$51:I$51,"="&amp;YEAR(I8),$C$9:I$9)</f>
        <v>1972</v>
      </c>
      <c r="J10" s="88">
        <f>SUMIF($C$51:J$51,"="&amp;YEAR(J8),$C$9:J$9)</f>
        <v>2683</v>
      </c>
      <c r="K10" s="88">
        <f>SUMIF($C$51:K$51,"="&amp;YEAR(K8),$C$9:K$9)</f>
        <v>3024</v>
      </c>
      <c r="L10" s="88">
        <f>SUMIF($C$51:L$51,"="&amp;YEAR(L8),$C$9:L$9)</f>
        <v>3024</v>
      </c>
      <c r="M10" s="88">
        <f>SUMIF($C$51:M$51,"="&amp;YEAR(M8),$C$9:M$9)</f>
        <v>3024</v>
      </c>
      <c r="N10" s="88">
        <f>SUMIF($C$51:N$51,"="&amp;YEAR(N8),$C$9:N$9)</f>
        <v>3404</v>
      </c>
      <c r="O10" s="88">
        <f>SUMIF($C$51:O$51,"="&amp;YEAR(O8),$C$9:O$9)</f>
        <v>0</v>
      </c>
      <c r="P10" s="88">
        <f>SUMIF($C$51:P$51,"="&amp;YEAR(P8),$C$9:P$9)</f>
        <v>0</v>
      </c>
      <c r="Q10" s="88">
        <f>SUMIF($C$51:Q$51,"="&amp;YEAR(Q8),$C$9:Q$9)</f>
        <v>844</v>
      </c>
      <c r="R10" s="88">
        <f>SUMIF($C$51:R$51,"="&amp;YEAR(R8),$C$9:R$9)</f>
        <v>844</v>
      </c>
      <c r="S10" s="88">
        <f>SUMIF($C$51:S$51,"="&amp;YEAR(S8),$C$9:S$9)</f>
        <v>844</v>
      </c>
      <c r="T10" s="88">
        <f>SUMIF($C$51:T$51,"="&amp;YEAR(T8),$C$9:T$9)</f>
        <v>2272</v>
      </c>
      <c r="U10" s="88">
        <f>SUMIF($C$51:U$51,"="&amp;YEAR(U8),$C$9:U$9)</f>
        <v>2272</v>
      </c>
      <c r="V10" s="88">
        <f>SUMIF($C$51:V$51,"="&amp;YEAR(V8),$C$9:V$9)</f>
        <v>2272</v>
      </c>
      <c r="W10" s="88">
        <f>SUMIF($C$51:W$51,"="&amp;YEAR(W8),$C$9:W$9)</f>
        <v>4001</v>
      </c>
      <c r="X10" s="88">
        <f>SUMIF($C$51:X$51,"="&amp;YEAR(X8),$C$9:X$9)</f>
        <v>4001</v>
      </c>
      <c r="Y10" s="88">
        <f>SUMIF($C$51:Y$51,"="&amp;YEAR(Y8),$C$9:Y$9)</f>
        <v>4001</v>
      </c>
      <c r="Z10" s="88">
        <f>SUMIF($C$51:Z$51,"="&amp;YEAR(Z8),$C$9:Z$9)</f>
        <v>5659</v>
      </c>
      <c r="AA10" s="88">
        <f>SUMIF($C$51:AA$51,"="&amp;YEAR(AA8),$C$9:AA$9)</f>
        <v>0</v>
      </c>
      <c r="AB10" s="88">
        <f>SUMIF($C$51:AB$51,"="&amp;YEAR(AB8),$C$9:AB$9)</f>
        <v>0</v>
      </c>
      <c r="AC10" s="88">
        <f>SUMIF($C$51:AC$51,"="&amp;YEAR(AC8),$C$9:AC$9)</f>
        <v>1244</v>
      </c>
      <c r="AD10" s="88">
        <f>SUMIF($C$51:AD$51,"="&amp;YEAR(AD8),$C$9:AD$9)</f>
        <v>1244</v>
      </c>
      <c r="AE10" s="88">
        <f>SUMIF($C$51:AE$51,"="&amp;YEAR(AE8),$C$9:AE$9)</f>
        <v>1244</v>
      </c>
      <c r="AF10" s="88">
        <f>SUMIF($C$51:AF$51,"="&amp;YEAR(AF8),$C$9:AF$9)</f>
        <v>3059</v>
      </c>
      <c r="AG10" s="88">
        <f>SUMIF($C$51:AG$51,"="&amp;YEAR(AG8),$C$9:AG$9)</f>
        <v>3059</v>
      </c>
      <c r="AH10" s="88">
        <f>SUMIF($C$51:AH$51,"="&amp;YEAR(AH8),$C$9:AH$9)</f>
        <v>3059</v>
      </c>
      <c r="AI10" s="88">
        <f>SUMIF($C$51:AI$51,"="&amp;YEAR(AI8),$C$9:AI$9)</f>
        <v>4788</v>
      </c>
      <c r="AJ10" s="88">
        <f>SUMIF($C$51:AJ$51,"="&amp;YEAR(AJ8),$C$9:AJ$9)</f>
        <v>4788</v>
      </c>
      <c r="AK10" s="88">
        <f>SUMIF($C$51:AK$51,"="&amp;YEAR(AK8),$C$9:AK$9)</f>
        <v>4788</v>
      </c>
      <c r="AL10" s="88">
        <f>SUMIF($C$51:AL$51,"="&amp;YEAR(AL8),$C$9:AL$9)</f>
        <v>6512</v>
      </c>
      <c r="AM10" s="88">
        <f>SUMIF($C$51:AM$51,"="&amp;YEAR(AM8),$C$9:AM$9)</f>
        <v>0</v>
      </c>
      <c r="AN10" s="88">
        <f>SUMIF($C$51:AN$51,"="&amp;YEAR(AN8),$C$9:AN$9)</f>
        <v>0</v>
      </c>
      <c r="AO10" s="88">
        <f>SUMIF($C$51:AO$51,"="&amp;YEAR(AO8),$C$9:AO$9)</f>
        <v>1228</v>
      </c>
      <c r="AP10" s="88">
        <f>SUMIF($C$51:AP$51,"="&amp;YEAR(AP8),$C$9:AP$9)</f>
        <v>1228</v>
      </c>
      <c r="AQ10" s="88">
        <f>SUMIF($C$51:AQ$51,"="&amp;YEAR(AQ8),$C$9:AQ$9)</f>
        <v>1228</v>
      </c>
      <c r="AR10" s="88">
        <f>SUMIF($C$51:AR$51,"="&amp;YEAR(AR8),$C$9:AR$9)</f>
        <v>3043</v>
      </c>
      <c r="AS10" s="88">
        <f>SUMIF($C$51:AS$51,"="&amp;YEAR(AS8),$C$9:AS$9)</f>
        <v>3043</v>
      </c>
      <c r="AT10" s="88">
        <f>SUMIF($C$51:AT$51,"="&amp;YEAR(AT8),$C$9:AT$9)</f>
        <v>3043</v>
      </c>
      <c r="AU10" s="88">
        <f>SUMIF($C$51:AU$51,"="&amp;YEAR(AU8),$C$9:AU$9)</f>
        <v>5175</v>
      </c>
      <c r="AV10" s="88">
        <f>SUMIF($C$51:AV$51,"="&amp;YEAR(AV8),$C$9:AV$9)</f>
        <v>5175</v>
      </c>
      <c r="AW10" s="88">
        <f>SUMIF($C$51:AW$51,"="&amp;YEAR(AW8),$C$9:AW$9)</f>
        <v>5175</v>
      </c>
      <c r="AX10" s="88">
        <f>SUMIF($C$51:AX$51,"="&amp;YEAR(AX8),$C$9:AX$9)</f>
        <v>7690</v>
      </c>
      <c r="AY10" s="88">
        <f>SUMIF($C$51:AY$51,"="&amp;YEAR(AY8),$C$9:AY$9)</f>
        <v>0</v>
      </c>
      <c r="AZ10" s="88">
        <f>SUMIF($C$51:AZ$51,"="&amp;YEAR(AZ8),$C$9:AZ$9)</f>
        <v>0</v>
      </c>
      <c r="BA10" s="88">
        <f>SUMIF($C$51:BA$51,"="&amp;YEAR(BA8),$C$9:BA$9)</f>
        <v>1835</v>
      </c>
      <c r="BB10" s="88">
        <f>SUMIF($C$51:BB$51,"="&amp;YEAR(BB8),$C$9:BB$9)</f>
        <v>1835</v>
      </c>
      <c r="BC10" s="88">
        <f>SUMIF($C$51:BC$51,"="&amp;YEAR(BC8),$C$9:BC$9)</f>
        <v>1835</v>
      </c>
      <c r="BD10" s="88">
        <f>SUMIF($C$51:BD$51,"="&amp;YEAR(BD8),$C$9:BD$9)</f>
        <v>3779</v>
      </c>
      <c r="BE10" s="88">
        <f>SUMIF($C$51:BE$51,"="&amp;YEAR(BE8),$C$9:BE$9)</f>
        <v>3779</v>
      </c>
      <c r="BF10" s="88">
        <f>SUMIF($C$51:BF$51,"="&amp;YEAR(BF8),$C$9:BF$9)</f>
        <v>3779</v>
      </c>
      <c r="BG10" s="88">
        <f>SUMIF($C$51:BG$51,"="&amp;YEAR(BG8),$C$9:BG$9)</f>
        <v>5870</v>
      </c>
      <c r="BH10" s="88">
        <f>SUMIF($C$51:BH$51,"="&amp;YEAR(BH8),$C$9:BH$9)</f>
        <v>5870</v>
      </c>
      <c r="BI10" s="88">
        <f>SUMIF($C$51:BI$51,"="&amp;YEAR(BI8),$C$9:BI$9)</f>
        <v>5870</v>
      </c>
      <c r="BJ10" s="88">
        <f>SUMIF($C$51:BJ$51,"="&amp;YEAR(BJ8),$C$9:BJ$9)</f>
        <v>9339</v>
      </c>
      <c r="BK10" s="88">
        <f>SUMIF($C$51:BK$51,"="&amp;YEAR(BK8),$C$9:BK$9)</f>
        <v>0</v>
      </c>
      <c r="BL10" s="88">
        <f>SUMIF($C$51:BL$51,"="&amp;YEAR(BL8),$C$9:BL$9)</f>
        <v>0</v>
      </c>
      <c r="BM10" s="88">
        <f>SUMIF($C$51:BM$51,"="&amp;YEAR(BM8),$C$9:BM$9)</f>
        <v>2561</v>
      </c>
      <c r="BN10" s="88">
        <f>SUMIF($C$51:BN$51,"="&amp;YEAR(BN8),$C$9:BN$9)</f>
        <v>2561</v>
      </c>
      <c r="BO10" s="88">
        <f>SUMIF($C$51:BO$51,"="&amp;YEAR(BO8),$C$9:BO$9)</f>
        <v>2561</v>
      </c>
      <c r="BP10" s="88">
        <f>SUMIF($C$51:BP$51,"="&amp;YEAR(BP8),$C$9:BP$9)</f>
        <v>5417</v>
      </c>
      <c r="BQ10" s="88">
        <f>SUMIF($C$51:BQ$51,"="&amp;YEAR(BQ8),$C$9:BQ$9)</f>
        <v>5417</v>
      </c>
      <c r="BR10" s="88">
        <f>SUMIF($C$51:BR$51,"="&amp;YEAR(BR8),$C$9:BR$9)</f>
        <v>5417</v>
      </c>
      <c r="BS10" s="88">
        <f>SUMIF($C$51:BS$51,"="&amp;YEAR(BS8),$C$9:BS$9)</f>
        <v>7916</v>
      </c>
      <c r="BT10" s="88">
        <f>SUMIF($C$51:BT$51,"="&amp;YEAR(BT8),$C$9:BT$9)</f>
        <v>7916</v>
      </c>
      <c r="BU10" s="88">
        <f>SUMIF($C$51:BU$51,"="&amp;YEAR(BU8),$C$9:BU$9)</f>
        <v>7916</v>
      </c>
      <c r="BV10" s="88">
        <f>SUMIF($C$51:BV$51,"="&amp;YEAR(BV8),$C$9:BV$9)</f>
        <v>10442</v>
      </c>
      <c r="BW10" s="88">
        <f>SUMIF($C$51:BW$51,"="&amp;YEAR(BW8),$C$9:BW$9)</f>
        <v>0</v>
      </c>
      <c r="BX10" s="88">
        <f>SUMIF($C$51:BX$51,"="&amp;YEAR(BX8),$C$9:BX$9)</f>
        <v>0</v>
      </c>
      <c r="BY10" s="88">
        <f>SUMIF($C$51:BY$51,"="&amp;YEAR(BY8),$C$9:BY$9)</f>
        <v>1599</v>
      </c>
      <c r="BZ10" s="88">
        <f>SUMIF($C$51:BZ$51,"="&amp;YEAR(BZ8),$C$9:BZ$9)</f>
        <v>1599</v>
      </c>
      <c r="CA10" s="88">
        <f>SUMIF($C$51:CA$51,"="&amp;YEAR(CA8),$C$9:CA$9)</f>
        <v>1599</v>
      </c>
      <c r="CB10" s="88">
        <f>SUMIF($C$51:CB$51,"="&amp;YEAR(CB8),$C$9:CB$9)</f>
        <v>3626</v>
      </c>
      <c r="CC10" s="88">
        <f>SUMIF($C$51:CC$51,"="&amp;YEAR(CC8),$C$9:CC$9)</f>
        <v>3626</v>
      </c>
      <c r="CD10" s="88">
        <f>SUMIF($C$51:CD$51,"="&amp;YEAR(CD8),$C$9:CD$9)</f>
        <v>3626</v>
      </c>
      <c r="CE10" s="88">
        <f>SUMIF($C$51:CE$51,"="&amp;YEAR(CE8),$C$9:CE$9)</f>
        <v>5173</v>
      </c>
      <c r="CF10" s="88">
        <f>SUMIF($C$51:CF$51,"="&amp;YEAR(CF8),$C$9:CF$9)</f>
        <v>5173</v>
      </c>
      <c r="CG10" s="88">
        <f>SUMIF($C$51:CG$51,"="&amp;YEAR(CG8),$C$9:CG$9)</f>
        <v>5173</v>
      </c>
      <c r="CH10" s="88">
        <f>SUMIF($C$51:CH$51,"="&amp;YEAR(CH8),$C$9:CH$9)</f>
        <v>6621</v>
      </c>
      <c r="CI10" s="88">
        <f>SUMIF($C$51:CI$51,"="&amp;YEAR(CI8),$C$9:CI$9)</f>
        <v>455.33333333333331</v>
      </c>
      <c r="CJ10" s="88">
        <f>SUMIF($C$51:CJ$51,"="&amp;YEAR(CJ8),$C$9:CJ$9)</f>
        <v>910.66666666666663</v>
      </c>
      <c r="CK10" s="88">
        <f>SUMIF($C$51:CK$51,"="&amp;YEAR(CK8),$C$9:CK$9)</f>
        <v>1366</v>
      </c>
      <c r="CL10" s="88">
        <f>SUMIF($C$51:CL$51,"="&amp;YEAR(CL8),$C$9:CL$9)</f>
        <v>1984</v>
      </c>
      <c r="CM10" s="88">
        <f>SUMIF($C$51:CM$51,"="&amp;YEAR(CM8),$C$9:CM$9)</f>
        <v>2602</v>
      </c>
      <c r="CN10" s="88">
        <f>SUMIF($C$51:CN$51,"="&amp;YEAR(CN8),$C$9:CN$9)</f>
        <v>3220</v>
      </c>
      <c r="CO10" s="88">
        <f>SUMIF($C$51:CO$51,"="&amp;YEAR(CO8),$C$9:CO$9)</f>
        <v>3803.6666666666665</v>
      </c>
      <c r="CP10" s="88">
        <f>SUMIF($C$51:CP$51,"="&amp;YEAR(CP8),$C$9:CP$9)</f>
        <v>4387.333333333333</v>
      </c>
      <c r="CQ10" s="88">
        <f>SUMIF($C$51:CQ$51,"="&amp;YEAR(CQ8),$C$9:CQ$9)</f>
        <v>4971</v>
      </c>
      <c r="CR10" s="88">
        <f>SUMIF($C$51:CR$51,"="&amp;YEAR(CR8),$C$9:CR$9)</f>
        <v>5557</v>
      </c>
      <c r="CS10" s="88">
        <f>SUMIF($C$51:CS$51,"="&amp;YEAR(CS8),$C$9:CS$9)</f>
        <v>6143</v>
      </c>
      <c r="CT10" s="88">
        <f>SUMIF($C$51:CT$51,"="&amp;YEAR(CT8),$C$9:CT$9)</f>
        <v>6729</v>
      </c>
      <c r="CU10" s="88">
        <f>SUMIF($C$51:CU$51,"="&amp;YEAR(CU8),$C$9:CU$9)</f>
        <v>361</v>
      </c>
      <c r="CV10" s="88">
        <f>SUMIF($C$51:CV$51,"="&amp;YEAR(CV8),$C$9:CV$9)</f>
        <v>722</v>
      </c>
      <c r="CW10" s="88">
        <f>SUMIF($C$51:CW$51,"="&amp;YEAR(CW8),$C$9:CW$9)</f>
        <v>1083</v>
      </c>
      <c r="CX10" s="88">
        <f>SUMIF($C$51:CX$51,"="&amp;YEAR(CX8),$C$9:CX$9)</f>
        <v>1634.6666666666665</v>
      </c>
      <c r="CY10" s="88">
        <f>SUMIF($C$51:CY$51,"="&amp;YEAR(CY8),$C$9:CY$9)</f>
        <v>2186.333333333333</v>
      </c>
      <c r="CZ10" s="88">
        <f>SUMIF($C$51:CZ$51,"="&amp;YEAR(CZ8),$C$9:CZ$9)</f>
        <v>2737.9999999999995</v>
      </c>
      <c r="DA10" s="88">
        <f>SUMIF($C$51:DA$51,"="&amp;YEAR(DA8),$C$9:DA$9)</f>
        <v>3323.9999999999995</v>
      </c>
      <c r="DB10" s="88">
        <f>SUMIF($C$51:DB$51,"="&amp;YEAR(DB8),$C$9:DB$9)</f>
        <v>3909.9999999999995</v>
      </c>
      <c r="DC10" s="88">
        <f>SUMIF($C$51:DC$51,"="&amp;YEAR(DC8),$C$9:DC$9)</f>
        <v>4495</v>
      </c>
      <c r="DD10" s="88">
        <f>SUMIF($C$51:DD$51,"="&amp;YEAR(DD8),$C$9:DD$9)</f>
        <v>5040.333333333333</v>
      </c>
      <c r="DE10" s="88">
        <f>SUMIF($C$51:DE$51,"="&amp;YEAR(DE8),$C$9:DE$9)</f>
        <v>5585.333333333333</v>
      </c>
      <c r="DF10" s="88">
        <f>SUMIF($C$51:DF$51,"="&amp;YEAR(DF8),$C$9:DF$9)</f>
        <v>6131.333333333333</v>
      </c>
      <c r="DG10" s="88">
        <f>SUMIF($C$51:DG$51,"="&amp;YEAR(DG8),$C$9:DG$9)</f>
        <v>332</v>
      </c>
      <c r="DH10" s="88">
        <f>SUMIF($C$51:DH$51,"="&amp;YEAR(DH8),$C$9:DH$9)</f>
        <v>664</v>
      </c>
      <c r="DI10" s="88">
        <f>SUMIF($C$51:DI$51,"="&amp;YEAR(DI8),$C$9:DI$9)</f>
        <v>996</v>
      </c>
      <c r="DJ10" s="88">
        <f>SUMIF($C$51:DJ$51,"="&amp;YEAR(DJ8),$C$9:DJ$9)</f>
        <v>1437</v>
      </c>
      <c r="DK10" s="88">
        <f>SUMIF($C$51:DK$51,"="&amp;YEAR(DK8),$C$9:DK$9)</f>
        <v>1878</v>
      </c>
      <c r="DL10" s="88">
        <f>SUMIF($C$51:DL$51,"="&amp;YEAR(DL8),$C$9:DL$9)</f>
        <v>2319</v>
      </c>
      <c r="DM10" s="88">
        <f>SUMIF($C$51:DM$51,"="&amp;YEAR(DM8),$C$9:DM$9)</f>
        <v>2674</v>
      </c>
      <c r="DN10" s="88">
        <f>SUMIF($C$51:DN$51,"="&amp;YEAR(DN8),$C$9:DN$9)</f>
        <v>3029</v>
      </c>
      <c r="DO10" s="88">
        <f>SUMIF($C$51:DO$51,"="&amp;YEAR(DO8),$C$9:DO$9)</f>
        <v>3384</v>
      </c>
      <c r="DP10" s="88">
        <f>SUMIF($C$51:DP$51,"="&amp;YEAR(DP8),$C$9:DP$9)</f>
        <v>3739</v>
      </c>
      <c r="DQ10" s="88">
        <f>SUMIF($C$51:DQ$51,"="&amp;YEAR(DQ8),$C$9:DQ$9)</f>
        <v>4094</v>
      </c>
      <c r="DR10" s="88">
        <f>SUMIF($C$51:DR$51,"="&amp;YEAR(DR8),$C$9:DR$9)</f>
        <v>4449</v>
      </c>
      <c r="DS10" s="88">
        <f>SUMIF($C$51:DS$51,"="&amp;YEAR(DS8),$C$9:DS$9)</f>
        <v>293.66666666666669</v>
      </c>
      <c r="DT10" s="88">
        <f>SUMIF($C$51:DT$51,"="&amp;YEAR(DT8),$C$9:DT$9)</f>
        <v>587.33333333333337</v>
      </c>
      <c r="DU10" s="88">
        <f>SUMIF($C$51:DU$51,"="&amp;YEAR(DU8),$C$9:DU$9)</f>
        <v>881</v>
      </c>
    </row>
    <row r="11" spans="1:125">
      <c r="A11" s="126" t="s">
        <v>187</v>
      </c>
      <c r="B11" s="87" t="s">
        <v>123</v>
      </c>
      <c r="C11" s="124" t="s">
        <v>174</v>
      </c>
      <c r="D11" s="124" t="s">
        <v>174</v>
      </c>
      <c r="E11" s="124" t="s">
        <v>174</v>
      </c>
      <c r="F11" s="124" t="s">
        <v>174</v>
      </c>
      <c r="G11" s="124" t="s">
        <v>174</v>
      </c>
      <c r="H11" s="124" t="s">
        <v>174</v>
      </c>
      <c r="I11" s="124" t="s">
        <v>174</v>
      </c>
      <c r="J11" s="124" t="s">
        <v>174</v>
      </c>
      <c r="K11" s="124" t="s">
        <v>174</v>
      </c>
      <c r="L11" s="124" t="s">
        <v>174</v>
      </c>
      <c r="M11" s="124" t="s">
        <v>174</v>
      </c>
      <c r="N11" s="88">
        <f t="shared" ref="N11:AC11" si="284">SUM(C9:N9)</f>
        <v>3404</v>
      </c>
      <c r="O11" s="88">
        <f t="shared" si="284"/>
        <v>3404</v>
      </c>
      <c r="P11" s="88">
        <f t="shared" si="284"/>
        <v>3404</v>
      </c>
      <c r="Q11" s="88">
        <f t="shared" si="284"/>
        <v>3404</v>
      </c>
      <c r="R11" s="88">
        <f t="shared" si="284"/>
        <v>3404</v>
      </c>
      <c r="S11" s="88">
        <f t="shared" si="284"/>
        <v>3404</v>
      </c>
      <c r="T11" s="88">
        <f t="shared" si="284"/>
        <v>3704</v>
      </c>
      <c r="U11" s="88">
        <f t="shared" si="284"/>
        <v>3704</v>
      </c>
      <c r="V11" s="88">
        <f t="shared" si="284"/>
        <v>2993</v>
      </c>
      <c r="W11" s="88">
        <f t="shared" si="284"/>
        <v>4381</v>
      </c>
      <c r="X11" s="88">
        <f t="shared" si="284"/>
        <v>4381</v>
      </c>
      <c r="Y11" s="88">
        <f t="shared" si="284"/>
        <v>4381</v>
      </c>
      <c r="Z11" s="88">
        <f t="shared" si="284"/>
        <v>5659</v>
      </c>
      <c r="AA11" s="88">
        <f t="shared" si="284"/>
        <v>5659</v>
      </c>
      <c r="AB11" s="88">
        <f t="shared" si="284"/>
        <v>5659</v>
      </c>
      <c r="AC11" s="88">
        <f t="shared" si="284"/>
        <v>6059</v>
      </c>
      <c r="AD11" s="88">
        <f t="shared" ref="AD11" si="285">SUM(S9:AD9)</f>
        <v>6059</v>
      </c>
      <c r="AE11" s="88">
        <f t="shared" ref="AE11:AF11" si="286">SUM(T9:AE9)</f>
        <v>6059</v>
      </c>
      <c r="AF11" s="88">
        <f t="shared" si="286"/>
        <v>6446</v>
      </c>
      <c r="AG11" s="88">
        <f t="shared" ref="AG11" si="287">SUM(V9:AG9)</f>
        <v>6446</v>
      </c>
      <c r="AH11" s="88">
        <f t="shared" ref="AH11" si="288">SUM(W9:AH9)</f>
        <v>6446</v>
      </c>
      <c r="AI11" s="88">
        <f t="shared" ref="AI11" si="289">SUM(X9:AI9)</f>
        <v>6446</v>
      </c>
      <c r="AJ11" s="88">
        <f t="shared" ref="AJ11" si="290">SUM(Y9:AJ9)</f>
        <v>6446</v>
      </c>
      <c r="AK11" s="88">
        <f t="shared" ref="AK11" si="291">SUM(Z9:AK9)</f>
        <v>6446</v>
      </c>
      <c r="AL11" s="88">
        <f t="shared" ref="AL11" si="292">SUM(AA9:AL9)</f>
        <v>6512</v>
      </c>
      <c r="AM11" s="88">
        <f t="shared" ref="AM11" si="293">SUM(AB9:AM9)</f>
        <v>6512</v>
      </c>
      <c r="AN11" s="88">
        <f t="shared" ref="AN11:AO11" si="294">SUM(AC9:AN9)</f>
        <v>6512</v>
      </c>
      <c r="AO11" s="88">
        <f t="shared" si="294"/>
        <v>6496</v>
      </c>
      <c r="AP11" s="88">
        <f t="shared" ref="AP11" si="295">SUM(AE9:AP9)</f>
        <v>6496</v>
      </c>
      <c r="AQ11" s="88">
        <f t="shared" ref="AQ11" si="296">SUM(AF9:AQ9)</f>
        <v>6496</v>
      </c>
      <c r="AR11" s="88">
        <f t="shared" ref="AR11" si="297">SUM(AG9:AR9)</f>
        <v>6496</v>
      </c>
      <c r="AS11" s="88">
        <f t="shared" ref="AS11" si="298">SUM(AH9:AS9)</f>
        <v>6496</v>
      </c>
      <c r="AT11" s="88">
        <f t="shared" ref="AT11" si="299">SUM(AI9:AT9)</f>
        <v>6496</v>
      </c>
      <c r="AU11" s="88">
        <f t="shared" ref="AU11" si="300">SUM(AJ9:AU9)</f>
        <v>6899</v>
      </c>
      <c r="AV11" s="88">
        <f t="shared" ref="AV11" si="301">SUM(AK9:AV9)</f>
        <v>6899</v>
      </c>
      <c r="AW11" s="88">
        <f t="shared" ref="AW11" si="302">SUM(AL9:AW9)</f>
        <v>6899</v>
      </c>
      <c r="AX11" s="88">
        <f t="shared" ref="AX11" si="303">SUM(AM9:AX9)</f>
        <v>7690</v>
      </c>
      <c r="AY11" s="88">
        <f t="shared" ref="AY11" si="304">SUM(AN9:AY9)</f>
        <v>7690</v>
      </c>
      <c r="AZ11" s="88">
        <f t="shared" ref="AZ11" si="305">SUM(AO9:AZ9)</f>
        <v>7690</v>
      </c>
      <c r="BA11" s="88">
        <f t="shared" ref="BA11" si="306">SUM(AP9:BA9)</f>
        <v>8297</v>
      </c>
      <c r="BB11" s="88">
        <f t="shared" ref="BB11" si="307">SUM(AQ9:BB9)</f>
        <v>8297</v>
      </c>
      <c r="BC11" s="88">
        <f t="shared" ref="BC11" si="308">SUM(AR9:BC9)</f>
        <v>8297</v>
      </c>
      <c r="BD11" s="88">
        <f t="shared" ref="BD11" si="309">SUM(AS9:BD9)</f>
        <v>8426</v>
      </c>
      <c r="BE11" s="88">
        <f t="shared" ref="BE11" si="310">SUM(AT9:BE9)</f>
        <v>8426</v>
      </c>
      <c r="BF11" s="88">
        <f t="shared" ref="BF11" si="311">SUM(AU9:BF9)</f>
        <v>8426</v>
      </c>
      <c r="BG11" s="88">
        <f t="shared" ref="BG11" si="312">SUM(AV9:BG9)</f>
        <v>8385</v>
      </c>
      <c r="BH11" s="88">
        <f t="shared" ref="BH11" si="313">SUM(AW9:BH9)</f>
        <v>8385</v>
      </c>
      <c r="BI11" s="88">
        <f t="shared" ref="BI11" si="314">SUM(AX9:BI9)</f>
        <v>8385</v>
      </c>
      <c r="BJ11" s="88">
        <f t="shared" ref="BJ11" si="315">SUM(AY9:BJ9)</f>
        <v>9339</v>
      </c>
      <c r="BK11" s="88">
        <f t="shared" ref="BK11" si="316">SUM(AZ9:BK9)</f>
        <v>9339</v>
      </c>
      <c r="BL11" s="88">
        <f t="shared" ref="BL11" si="317">SUM(BA9:BL9)</f>
        <v>9339</v>
      </c>
      <c r="BM11" s="88">
        <f t="shared" ref="BM11" si="318">SUM(BB9:BM9)</f>
        <v>10065</v>
      </c>
      <c r="BN11" s="88">
        <f t="shared" ref="BN11" si="319">SUM(BC9:BN9)</f>
        <v>10065</v>
      </c>
      <c r="BO11" s="88">
        <f t="shared" ref="BO11" si="320">SUM(BD9:BO9)</f>
        <v>10065</v>
      </c>
      <c r="BP11" s="88">
        <f t="shared" ref="BP11" si="321">SUM(BE9:BP9)</f>
        <v>10977</v>
      </c>
      <c r="BQ11" s="88">
        <f t="shared" ref="BQ11" si="322">SUM(BF9:BQ9)</f>
        <v>10977</v>
      </c>
      <c r="BR11" s="88">
        <f t="shared" ref="BR11" si="323">SUM(BG9:BR9)</f>
        <v>10977</v>
      </c>
      <c r="BS11" s="88">
        <f t="shared" ref="BS11" si="324">SUM(BH9:BS9)</f>
        <v>11385</v>
      </c>
      <c r="BT11" s="88">
        <f t="shared" ref="BT11" si="325">SUM(BI9:BT9)</f>
        <v>11385</v>
      </c>
      <c r="BU11" s="88">
        <f>SUM(BJ9:BU9)</f>
        <v>11385</v>
      </c>
      <c r="BV11" s="88">
        <f t="shared" ref="BV11:BW11" si="326">SUM(BK9:BV9)</f>
        <v>10442</v>
      </c>
      <c r="BW11" s="88">
        <f t="shared" si="326"/>
        <v>10442</v>
      </c>
      <c r="BX11" s="88">
        <f t="shared" ref="BX11:BY11" si="327">SUM(BM9:BX9)</f>
        <v>10442</v>
      </c>
      <c r="BY11" s="88">
        <f t="shared" si="327"/>
        <v>9480</v>
      </c>
      <c r="BZ11" s="88">
        <f t="shared" ref="BZ11" si="328">SUM(BO9:BZ9)</f>
        <v>9480</v>
      </c>
      <c r="CA11" s="88">
        <f t="shared" ref="CA11" si="329">SUM(BP9:CA9)</f>
        <v>9480</v>
      </c>
      <c r="CB11" s="88">
        <f t="shared" ref="CB11" si="330">SUM(BQ9:CB9)</f>
        <v>8651</v>
      </c>
      <c r="CC11" s="88">
        <f t="shared" ref="CC11" si="331">SUM(BR9:CC9)</f>
        <v>8651</v>
      </c>
      <c r="CD11" s="88">
        <f t="shared" ref="CD11" si="332">SUM(BS9:CD9)</f>
        <v>8651</v>
      </c>
      <c r="CE11" s="88">
        <f t="shared" ref="CE11" si="333">SUM(BT9:CE9)</f>
        <v>7699</v>
      </c>
      <c r="CF11" s="88">
        <f t="shared" ref="CF11" si="334">SUM(BU9:CF9)</f>
        <v>7699</v>
      </c>
      <c r="CG11" s="88">
        <f t="shared" ref="CG11" si="335">SUM(BV9:CG9)</f>
        <v>7699</v>
      </c>
      <c r="CH11" s="88">
        <f t="shared" ref="CH11" si="336">SUM(BW9:CH9)</f>
        <v>6621</v>
      </c>
      <c r="CI11" s="88">
        <f t="shared" ref="CI11" si="337">SUM(BX9:CI9)</f>
        <v>7076.333333333333</v>
      </c>
      <c r="CJ11" s="88">
        <f t="shared" ref="CJ11" si="338">SUM(BY9:CJ9)</f>
        <v>7531.6666666666661</v>
      </c>
      <c r="CK11" s="88">
        <f t="shared" ref="CK11" si="339">SUM(BZ9:CK9)</f>
        <v>6387.9999999999991</v>
      </c>
      <c r="CL11" s="88">
        <f t="shared" ref="CL11" si="340">SUM(CA9:CL9)</f>
        <v>7005.9999999999991</v>
      </c>
      <c r="CM11" s="88">
        <f t="shared" ref="CM11" si="341">SUM(CB9:CM9)</f>
        <v>7623.9999999999991</v>
      </c>
      <c r="CN11" s="88">
        <f t="shared" ref="CN11" si="342">SUM(CC9:CN9)</f>
        <v>6215</v>
      </c>
      <c r="CO11" s="88">
        <f t="shared" ref="CO11" si="343">SUM(CD9:CO9)</f>
        <v>6798.666666666667</v>
      </c>
      <c r="CP11" s="88">
        <f t="shared" ref="CP11" si="344">SUM(CE9:CP9)</f>
        <v>7382.3333333333339</v>
      </c>
      <c r="CQ11" s="88">
        <f t="shared" ref="CQ11" si="345">SUM(CF9:CQ9)</f>
        <v>6419.0000000000009</v>
      </c>
      <c r="CR11" s="88">
        <f t="shared" ref="CR11" si="346">SUM(CG9:CR9)</f>
        <v>7005.0000000000009</v>
      </c>
      <c r="CS11" s="88">
        <f t="shared" ref="CS11" si="347">SUM(CH9:CS9)</f>
        <v>7591.0000000000009</v>
      </c>
      <c r="CT11" s="88">
        <f t="shared" ref="CT11" si="348">SUM(CI9:CT9)</f>
        <v>6729</v>
      </c>
      <c r="CU11" s="88">
        <f t="shared" ref="CU11" si="349">SUM(CJ9:CU9)</f>
        <v>6634.6666666666661</v>
      </c>
      <c r="CV11" s="88">
        <f t="shared" ref="CV11" si="350">SUM(CK9:CV9)</f>
        <v>6540.3333333333321</v>
      </c>
      <c r="CW11" s="88">
        <f t="shared" ref="CW11" si="351">SUM(CL9:CW9)</f>
        <v>6446</v>
      </c>
      <c r="CX11" s="88">
        <f t="shared" ref="CX11" si="352">SUM(CM9:CX9)</f>
        <v>6379.666666666667</v>
      </c>
      <c r="CY11" s="88">
        <f t="shared" ref="CY11" si="353">SUM(CN9:CY9)</f>
        <v>6313.3333333333339</v>
      </c>
      <c r="CZ11" s="88">
        <f t="shared" ref="CZ11" si="354">SUM(CO9:CZ9)</f>
        <v>6247.0000000000009</v>
      </c>
      <c r="DA11" s="88">
        <f t="shared" ref="DA11" si="355">SUM(CP9:DA9)</f>
        <v>6249.3333333333339</v>
      </c>
      <c r="DB11" s="88">
        <f t="shared" ref="DB11" si="356">SUM(CQ9:DB9)</f>
        <v>6251.666666666667</v>
      </c>
      <c r="DC11" s="88">
        <f t="shared" ref="DC11" si="357">SUM(CR9:DC9)</f>
        <v>6253</v>
      </c>
      <c r="DD11" s="88">
        <f t="shared" ref="DD11" si="358">SUM(CS9:DD9)</f>
        <v>6212.333333333333</v>
      </c>
      <c r="DE11" s="88">
        <f t="shared" ref="DE11" si="359">SUM(CT9:DE9)</f>
        <v>6171.333333333333</v>
      </c>
      <c r="DF11" s="88">
        <f t="shared" ref="DF11" si="360">SUM(CU9:DF9)</f>
        <v>6131.333333333333</v>
      </c>
      <c r="DG11" s="88">
        <f t="shared" ref="DG11" si="361">SUM(CV9:DG9)</f>
        <v>6102.333333333333</v>
      </c>
      <c r="DH11" s="88">
        <f t="shared" ref="DH11" si="362">SUM(CW9:DH9)</f>
        <v>6073.333333333333</v>
      </c>
      <c r="DI11" s="88">
        <f t="shared" ref="DI11" si="363">SUM(CX9:DI9)</f>
        <v>6044.3333333333339</v>
      </c>
      <c r="DJ11" s="88">
        <f t="shared" ref="DJ11" si="364">SUM(CY9:DJ9)</f>
        <v>5933.6666666666661</v>
      </c>
      <c r="DK11" s="88">
        <f t="shared" ref="DK11" si="365">SUM(CZ9:DK9)</f>
        <v>5823</v>
      </c>
      <c r="DL11" s="88">
        <f t="shared" ref="DL11" si="366">SUM(DA9:DL9)</f>
        <v>5712.3333333333339</v>
      </c>
      <c r="DM11" s="88">
        <f t="shared" ref="DM11" si="367">SUM(DB9:DM9)</f>
        <v>5481.3333333333339</v>
      </c>
      <c r="DN11" s="88">
        <f t="shared" ref="DN11" si="368">SUM(DC9:DN9)</f>
        <v>5250.3333333333339</v>
      </c>
      <c r="DO11" s="88">
        <f t="shared" ref="DO11" si="369">SUM(DD9:DO9)</f>
        <v>5020.3333333333339</v>
      </c>
      <c r="DP11" s="88">
        <f t="shared" ref="DP11" si="370">SUM(DE9:DP9)</f>
        <v>4830</v>
      </c>
      <c r="DQ11" s="88">
        <f t="shared" ref="DQ11" si="371">SUM(DF9:DQ9)</f>
        <v>4640</v>
      </c>
      <c r="DR11" s="88">
        <f t="shared" ref="DR11" si="372">SUM(DG9:DR9)</f>
        <v>4449</v>
      </c>
      <c r="DS11" s="88">
        <f t="shared" ref="DS11" si="373">SUM(DH9:DS9)</f>
        <v>4410.666666666667</v>
      </c>
      <c r="DT11" s="88">
        <f t="shared" ref="DT11:DU11" si="374">SUM(DI9:DT9)</f>
        <v>4372.333333333333</v>
      </c>
      <c r="DU11" s="88">
        <f t="shared" si="374"/>
        <v>4334</v>
      </c>
    </row>
    <row r="12" spans="1:125">
      <c r="B12" s="127"/>
      <c r="C12" s="128"/>
      <c r="D12" s="128"/>
      <c r="E12" s="128"/>
      <c r="F12" s="129"/>
      <c r="G12" s="129"/>
      <c r="H12" s="129"/>
      <c r="I12" s="129"/>
      <c r="J12" s="129"/>
      <c r="K12" s="129"/>
      <c r="L12" s="129"/>
      <c r="M12" s="129"/>
      <c r="N12" s="129"/>
      <c r="O12" s="129"/>
    </row>
    <row r="13" spans="1:125">
      <c r="B13" s="247" t="s">
        <v>188</v>
      </c>
      <c r="C13" s="248">
        <f>$C$3</f>
        <v>42400</v>
      </c>
      <c r="D13" s="248">
        <f>EOMONTH(C13,1)</f>
        <v>42429</v>
      </c>
      <c r="E13" s="248">
        <f t="shared" ref="E13" si="375">EOMONTH(D13,1)</f>
        <v>42460</v>
      </c>
      <c r="F13" s="248">
        <f t="shared" ref="F13" si="376">EOMONTH(E13,1)</f>
        <v>42490</v>
      </c>
      <c r="G13" s="248">
        <f t="shared" ref="G13" si="377">EOMONTH(F13,1)</f>
        <v>42521</v>
      </c>
      <c r="H13" s="248">
        <f t="shared" ref="H13" si="378">EOMONTH(G13,1)</f>
        <v>42551</v>
      </c>
      <c r="I13" s="248">
        <f t="shared" ref="I13" si="379">EOMONTH(H13,1)</f>
        <v>42582</v>
      </c>
      <c r="J13" s="248">
        <f t="shared" ref="J13" si="380">EOMONTH(I13,1)</f>
        <v>42613</v>
      </c>
      <c r="K13" s="248">
        <f t="shared" ref="K13" si="381">EOMONTH(J13,1)</f>
        <v>42643</v>
      </c>
      <c r="L13" s="248">
        <f t="shared" ref="L13" si="382">EOMONTH(K13,1)</f>
        <v>42674</v>
      </c>
      <c r="M13" s="248">
        <f t="shared" ref="M13" si="383">EOMONTH(L13,1)</f>
        <v>42704</v>
      </c>
      <c r="N13" s="248">
        <f t="shared" ref="N13" si="384">EOMONTH(M13,1)</f>
        <v>42735</v>
      </c>
      <c r="O13" s="248">
        <f t="shared" ref="O13" si="385">EOMONTH(N13,1)</f>
        <v>42766</v>
      </c>
      <c r="P13" s="248">
        <f t="shared" ref="P13" si="386">EOMONTH(O13,1)</f>
        <v>42794</v>
      </c>
      <c r="Q13" s="248">
        <f t="shared" ref="Q13" si="387">EOMONTH(P13,1)</f>
        <v>42825</v>
      </c>
      <c r="R13" s="248">
        <f t="shared" ref="R13" si="388">EOMONTH(Q13,1)</f>
        <v>42855</v>
      </c>
      <c r="S13" s="248">
        <f t="shared" ref="S13" si="389">EOMONTH(R13,1)</f>
        <v>42886</v>
      </c>
      <c r="T13" s="248">
        <f t="shared" ref="T13" si="390">EOMONTH(S13,1)</f>
        <v>42916</v>
      </c>
      <c r="U13" s="248">
        <f t="shared" ref="U13" si="391">EOMONTH(T13,1)</f>
        <v>42947</v>
      </c>
      <c r="V13" s="248">
        <f t="shared" ref="V13" si="392">EOMONTH(U13,1)</f>
        <v>42978</v>
      </c>
      <c r="W13" s="248">
        <f t="shared" ref="W13" si="393">EOMONTH(V13,1)</f>
        <v>43008</v>
      </c>
      <c r="X13" s="248">
        <f t="shared" ref="X13" si="394">EOMONTH(W13,1)</f>
        <v>43039</v>
      </c>
      <c r="Y13" s="248">
        <f t="shared" ref="Y13" si="395">EOMONTH(X13,1)</f>
        <v>43069</v>
      </c>
      <c r="Z13" s="248">
        <f t="shared" ref="Z13" si="396">EOMONTH(Y13,1)</f>
        <v>43100</v>
      </c>
      <c r="AA13" s="248">
        <f t="shared" ref="AA13" si="397">EOMONTH(Z13,1)</f>
        <v>43131</v>
      </c>
      <c r="AB13" s="248">
        <f t="shared" ref="AB13" si="398">EOMONTH(AA13,1)</f>
        <v>43159</v>
      </c>
      <c r="AC13" s="248">
        <f t="shared" ref="AC13" si="399">EOMONTH(AB13,1)</f>
        <v>43190</v>
      </c>
      <c r="AD13" s="248">
        <f t="shared" ref="AD13" si="400">EOMONTH(AC13,1)</f>
        <v>43220</v>
      </c>
      <c r="AE13" s="248">
        <f t="shared" ref="AE13" si="401">EOMONTH(AD13,1)</f>
        <v>43251</v>
      </c>
      <c r="AF13" s="248">
        <f t="shared" ref="AF13" si="402">EOMONTH(AE13,1)</f>
        <v>43281</v>
      </c>
      <c r="AG13" s="248">
        <f t="shared" ref="AG13" si="403">EOMONTH(AF13,1)</f>
        <v>43312</v>
      </c>
      <c r="AH13" s="248">
        <f t="shared" ref="AH13" si="404">EOMONTH(AG13,1)</f>
        <v>43343</v>
      </c>
      <c r="AI13" s="248">
        <f t="shared" ref="AI13" si="405">EOMONTH(AH13,1)</f>
        <v>43373</v>
      </c>
      <c r="AJ13" s="248">
        <f t="shared" ref="AJ13" si="406">EOMONTH(AI13,1)</f>
        <v>43404</v>
      </c>
      <c r="AK13" s="248">
        <f t="shared" ref="AK13" si="407">EOMONTH(AJ13,1)</f>
        <v>43434</v>
      </c>
      <c r="AL13" s="248">
        <f t="shared" ref="AL13" si="408">EOMONTH(AK13,1)</f>
        <v>43465</v>
      </c>
      <c r="AM13" s="248">
        <f t="shared" ref="AM13" si="409">EOMONTH(AL13,1)</f>
        <v>43496</v>
      </c>
      <c r="AN13" s="248">
        <f t="shared" ref="AN13" si="410">EOMONTH(AM13,1)</f>
        <v>43524</v>
      </c>
      <c r="AO13" s="248">
        <f t="shared" ref="AO13" si="411">EOMONTH(AN13,1)</f>
        <v>43555</v>
      </c>
      <c r="AP13" s="248">
        <f t="shared" ref="AP13" si="412">EOMONTH(AO13,1)</f>
        <v>43585</v>
      </c>
      <c r="AQ13" s="248">
        <f t="shared" ref="AQ13" si="413">EOMONTH(AP13,1)</f>
        <v>43616</v>
      </c>
      <c r="AR13" s="248">
        <f t="shared" ref="AR13" si="414">EOMONTH(AQ13,1)</f>
        <v>43646</v>
      </c>
      <c r="AS13" s="248">
        <f t="shared" ref="AS13" si="415">EOMONTH(AR13,1)</f>
        <v>43677</v>
      </c>
      <c r="AT13" s="248">
        <f t="shared" ref="AT13" si="416">EOMONTH(AS13,1)</f>
        <v>43708</v>
      </c>
      <c r="AU13" s="248">
        <f t="shared" ref="AU13" si="417">EOMONTH(AT13,1)</f>
        <v>43738</v>
      </c>
      <c r="AV13" s="248">
        <f t="shared" ref="AV13" si="418">EOMONTH(AU13,1)</f>
        <v>43769</v>
      </c>
      <c r="AW13" s="248">
        <f t="shared" ref="AW13" si="419">EOMONTH(AV13,1)</f>
        <v>43799</v>
      </c>
      <c r="AX13" s="248">
        <f t="shared" ref="AX13" si="420">EOMONTH(AW13,1)</f>
        <v>43830</v>
      </c>
      <c r="AY13" s="248">
        <f t="shared" ref="AY13" si="421">EOMONTH(AX13,1)</f>
        <v>43861</v>
      </c>
      <c r="AZ13" s="248">
        <f t="shared" ref="AZ13" si="422">EOMONTH(AY13,1)</f>
        <v>43890</v>
      </c>
      <c r="BA13" s="248">
        <f t="shared" ref="BA13" si="423">EOMONTH(AZ13,1)</f>
        <v>43921</v>
      </c>
      <c r="BB13" s="248">
        <f t="shared" ref="BB13" si="424">EOMONTH(BA13,1)</f>
        <v>43951</v>
      </c>
      <c r="BC13" s="248">
        <f t="shared" ref="BC13" si="425">EOMONTH(BB13,1)</f>
        <v>43982</v>
      </c>
      <c r="BD13" s="248">
        <f t="shared" ref="BD13" si="426">EOMONTH(BC13,1)</f>
        <v>44012</v>
      </c>
      <c r="BE13" s="248">
        <f t="shared" ref="BE13" si="427">EOMONTH(BD13,1)</f>
        <v>44043</v>
      </c>
      <c r="BF13" s="248">
        <f t="shared" ref="BF13" si="428">EOMONTH(BE13,1)</f>
        <v>44074</v>
      </c>
      <c r="BG13" s="248">
        <f t="shared" ref="BG13" si="429">EOMONTH(BF13,1)</f>
        <v>44104</v>
      </c>
      <c r="BH13" s="248">
        <f t="shared" ref="BH13" si="430">EOMONTH(BG13,1)</f>
        <v>44135</v>
      </c>
      <c r="BI13" s="248">
        <f t="shared" ref="BI13" si="431">EOMONTH(BH13,1)</f>
        <v>44165</v>
      </c>
      <c r="BJ13" s="248">
        <f t="shared" ref="BJ13" si="432">EOMONTH(BI13,1)</f>
        <v>44196</v>
      </c>
      <c r="BK13" s="248">
        <f t="shared" ref="BK13" si="433">EOMONTH(BJ13,1)</f>
        <v>44227</v>
      </c>
      <c r="BL13" s="248">
        <f t="shared" ref="BL13" si="434">EOMONTH(BK13,1)</f>
        <v>44255</v>
      </c>
      <c r="BM13" s="248">
        <f t="shared" ref="BM13" si="435">EOMONTH(BL13,1)</f>
        <v>44286</v>
      </c>
      <c r="BN13" s="248">
        <f t="shared" ref="BN13" si="436">EOMONTH(BM13,1)</f>
        <v>44316</v>
      </c>
      <c r="BO13" s="248">
        <f t="shared" ref="BO13" si="437">EOMONTH(BN13,1)</f>
        <v>44347</v>
      </c>
      <c r="BP13" s="248">
        <f t="shared" ref="BP13" si="438">EOMONTH(BO13,1)</f>
        <v>44377</v>
      </c>
      <c r="BQ13" s="248">
        <f t="shared" ref="BQ13" si="439">EOMONTH(BP13,1)</f>
        <v>44408</v>
      </c>
      <c r="BR13" s="248">
        <f t="shared" ref="BR13" si="440">EOMONTH(BQ13,1)</f>
        <v>44439</v>
      </c>
      <c r="BS13" s="248">
        <f t="shared" ref="BS13" si="441">EOMONTH(BR13,1)</f>
        <v>44469</v>
      </c>
      <c r="BT13" s="248">
        <f t="shared" ref="BT13" si="442">EOMONTH(BS13,1)</f>
        <v>44500</v>
      </c>
      <c r="BU13" s="248">
        <f>EOMONTH(BT13,1)</f>
        <v>44530</v>
      </c>
      <c r="BV13" s="248">
        <f t="shared" ref="BV13" si="443">EOMONTH(BU13,1)</f>
        <v>44561</v>
      </c>
      <c r="BW13" s="248">
        <f t="shared" ref="BW13" si="444">EOMONTH(BV13,1)</f>
        <v>44592</v>
      </c>
      <c r="BX13" s="248">
        <f t="shared" ref="BX13" si="445">EOMONTH(BW13,1)</f>
        <v>44620</v>
      </c>
      <c r="BY13" s="248">
        <f t="shared" ref="BY13" si="446">EOMONTH(BX13,1)</f>
        <v>44651</v>
      </c>
      <c r="BZ13" s="248">
        <f t="shared" ref="BZ13" si="447">EOMONTH(BY13,1)</f>
        <v>44681</v>
      </c>
      <c r="CA13" s="248">
        <f t="shared" ref="CA13" si="448">EOMONTH(BZ13,1)</f>
        <v>44712</v>
      </c>
      <c r="CB13" s="248">
        <f t="shared" ref="CB13" si="449">EOMONTH(CA13,1)</f>
        <v>44742</v>
      </c>
      <c r="CC13" s="248">
        <f t="shared" ref="CC13" si="450">EOMONTH(CB13,1)</f>
        <v>44773</v>
      </c>
      <c r="CD13" s="248">
        <f t="shared" ref="CD13" si="451">EOMONTH(CC13,1)</f>
        <v>44804</v>
      </c>
      <c r="CE13" s="248">
        <f t="shared" ref="CE13" si="452">EOMONTH(CD13,1)</f>
        <v>44834</v>
      </c>
      <c r="CF13" s="248">
        <f t="shared" ref="CF13" si="453">EOMONTH(CE13,1)</f>
        <v>44865</v>
      </c>
      <c r="CG13" s="248">
        <f t="shared" ref="CG13" si="454">EOMONTH(CF13,1)</f>
        <v>44895</v>
      </c>
      <c r="CH13" s="248">
        <f t="shared" ref="CH13" si="455">EOMONTH(CG13,1)</f>
        <v>44926</v>
      </c>
      <c r="CI13" s="248">
        <f t="shared" ref="CI13" si="456">EOMONTH(CH13,1)</f>
        <v>44957</v>
      </c>
      <c r="CJ13" s="248">
        <f t="shared" ref="CJ13" si="457">EOMONTH(CI13,1)</f>
        <v>44985</v>
      </c>
      <c r="CK13" s="248">
        <f t="shared" ref="CK13" si="458">EOMONTH(CJ13,1)</f>
        <v>45016</v>
      </c>
      <c r="CL13" s="248">
        <f t="shared" ref="CL13" si="459">EOMONTH(CK13,1)</f>
        <v>45046</v>
      </c>
      <c r="CM13" s="248">
        <f t="shared" ref="CM13" si="460">EOMONTH(CL13,1)</f>
        <v>45077</v>
      </c>
      <c r="CN13" s="248">
        <f t="shared" ref="CN13" si="461">EOMONTH(CM13,1)</f>
        <v>45107</v>
      </c>
      <c r="CO13" s="248">
        <f t="shared" ref="CO13" si="462">EOMONTH(CN13,1)</f>
        <v>45138</v>
      </c>
      <c r="CP13" s="248">
        <f t="shared" ref="CP13" si="463">EOMONTH(CO13,1)</f>
        <v>45169</v>
      </c>
      <c r="CQ13" s="248">
        <f t="shared" ref="CQ13" si="464">EOMONTH(CP13,1)</f>
        <v>45199</v>
      </c>
      <c r="CR13" s="248">
        <f t="shared" ref="CR13" si="465">EOMONTH(CQ13,1)</f>
        <v>45230</v>
      </c>
      <c r="CS13" s="248">
        <f t="shared" ref="CS13" si="466">EOMONTH(CR13,1)</f>
        <v>45260</v>
      </c>
      <c r="CT13" s="248">
        <f t="shared" ref="CT13" si="467">EOMONTH(CS13,1)</f>
        <v>45291</v>
      </c>
      <c r="CU13" s="248">
        <f t="shared" ref="CU13" si="468">EOMONTH(CT13,1)</f>
        <v>45322</v>
      </c>
      <c r="CV13" s="248">
        <f t="shared" ref="CV13" si="469">EOMONTH(CU13,1)</f>
        <v>45351</v>
      </c>
      <c r="CW13" s="248">
        <f t="shared" ref="CW13" si="470">EOMONTH(CV13,1)</f>
        <v>45382</v>
      </c>
      <c r="CX13" s="248">
        <f t="shared" ref="CX13" si="471">EOMONTH(CW13,1)</f>
        <v>45412</v>
      </c>
      <c r="CY13" s="248">
        <f t="shared" ref="CY13" si="472">EOMONTH(CX13,1)</f>
        <v>45443</v>
      </c>
      <c r="CZ13" s="248">
        <f t="shared" ref="CZ13" si="473">EOMONTH(CY13,1)</f>
        <v>45473</v>
      </c>
      <c r="DA13" s="248">
        <f t="shared" ref="DA13" si="474">EOMONTH(CZ13,1)</f>
        <v>45504</v>
      </c>
      <c r="DB13" s="248">
        <f t="shared" ref="DB13" si="475">EOMONTH(DA13,1)</f>
        <v>45535</v>
      </c>
      <c r="DC13" s="248">
        <f t="shared" ref="DC13" si="476">EOMONTH(DB13,1)</f>
        <v>45565</v>
      </c>
      <c r="DD13" s="248">
        <f t="shared" ref="DD13" si="477">EOMONTH(DC13,1)</f>
        <v>45596</v>
      </c>
      <c r="DE13" s="248">
        <f t="shared" ref="DE13" si="478">EOMONTH(DD13,1)</f>
        <v>45626</v>
      </c>
      <c r="DF13" s="248">
        <f t="shared" ref="DF13" si="479">EOMONTH(DE13,1)</f>
        <v>45657</v>
      </c>
      <c r="DG13" s="248">
        <f t="shared" ref="DG13" si="480">EOMONTH(DF13,1)</f>
        <v>45688</v>
      </c>
      <c r="DH13" s="248">
        <f t="shared" ref="DH13" si="481">EOMONTH(DG13,1)</f>
        <v>45716</v>
      </c>
      <c r="DI13" s="248">
        <f t="shared" ref="DI13" si="482">EOMONTH(DH13,1)</f>
        <v>45747</v>
      </c>
      <c r="DJ13" s="248">
        <f t="shared" ref="DJ13" si="483">EOMONTH(DI13,1)</f>
        <v>45777</v>
      </c>
      <c r="DK13" s="248">
        <f t="shared" ref="DK13" si="484">EOMONTH(DJ13,1)</f>
        <v>45808</v>
      </c>
      <c r="DL13" s="248">
        <f t="shared" ref="DL13" si="485">EOMONTH(DK13,1)</f>
        <v>45838</v>
      </c>
      <c r="DM13" s="248">
        <f t="shared" ref="DM13" si="486">EOMONTH(DL13,1)</f>
        <v>45869</v>
      </c>
      <c r="DN13" s="248">
        <f t="shared" ref="DN13" si="487">EOMONTH(DM13,1)</f>
        <v>45900</v>
      </c>
      <c r="DO13" s="248">
        <f t="shared" ref="DO13" si="488">EOMONTH(DN13,1)</f>
        <v>45930</v>
      </c>
      <c r="DP13" s="248">
        <f t="shared" ref="DP13" si="489">EOMONTH(DO13,1)</f>
        <v>45961</v>
      </c>
      <c r="DQ13" s="248">
        <f t="shared" ref="DQ13" si="490">EOMONTH(DP13,1)</f>
        <v>45991</v>
      </c>
      <c r="DR13" s="248">
        <f t="shared" ref="DR13" si="491">EOMONTH(DQ13,1)</f>
        <v>46022</v>
      </c>
      <c r="DS13" s="248">
        <f t="shared" ref="DS13" si="492">EOMONTH(DR13,1)</f>
        <v>46053</v>
      </c>
      <c r="DT13" s="248">
        <f t="shared" ref="DT13:DU13" si="493">EOMONTH(DS13,1)</f>
        <v>46081</v>
      </c>
      <c r="DU13" s="248">
        <f t="shared" si="493"/>
        <v>46112</v>
      </c>
    </row>
    <row r="14" spans="1:125" s="382" customFormat="1">
      <c r="A14" s="108"/>
      <c r="B14" s="372" t="s">
        <v>189</v>
      </c>
      <c r="C14" s="592"/>
      <c r="D14" s="592"/>
      <c r="E14" s="592"/>
      <c r="F14" s="592"/>
      <c r="G14" s="592"/>
      <c r="H14" s="592"/>
      <c r="I14" s="592"/>
      <c r="J14" s="592"/>
      <c r="K14" s="592"/>
      <c r="L14" s="592"/>
      <c r="M14" s="592"/>
      <c r="N14" s="592"/>
      <c r="O14" s="592"/>
      <c r="P14" s="592"/>
      <c r="Q14" s="593"/>
      <c r="R14" s="592"/>
      <c r="S14" s="592"/>
      <c r="T14" s="592"/>
      <c r="U14" s="592"/>
      <c r="V14" s="592"/>
      <c r="W14" s="592"/>
      <c r="X14" s="592"/>
      <c r="Y14" s="592"/>
      <c r="Z14" s="592"/>
      <c r="AA14" s="592"/>
      <c r="AB14" s="592"/>
      <c r="AC14" s="592"/>
      <c r="AD14" s="592"/>
      <c r="AE14" s="592"/>
      <c r="AF14" s="592"/>
      <c r="AG14" s="592"/>
      <c r="AH14" s="592"/>
      <c r="AI14" s="592"/>
      <c r="AJ14" s="592"/>
      <c r="AK14" s="592"/>
      <c r="AL14" s="592"/>
      <c r="AM14" s="592"/>
      <c r="AN14" s="592"/>
      <c r="AO14" s="592"/>
      <c r="AP14" s="592"/>
      <c r="AQ14" s="592"/>
      <c r="AR14" s="592"/>
      <c r="AS14" s="592"/>
      <c r="AT14" s="592"/>
      <c r="AU14" s="592"/>
      <c r="AV14" s="592"/>
      <c r="AW14" s="592"/>
      <c r="AX14" s="592"/>
      <c r="AY14" s="592"/>
      <c r="AZ14" s="592"/>
      <c r="BA14" s="592"/>
      <c r="BB14" s="592"/>
      <c r="BC14" s="592"/>
      <c r="BD14" s="592"/>
      <c r="BE14" s="592"/>
      <c r="BF14" s="592"/>
      <c r="BG14" s="592"/>
      <c r="BH14" s="592"/>
      <c r="BI14" s="592"/>
      <c r="BJ14" s="592"/>
      <c r="BK14" s="592">
        <v>0.105</v>
      </c>
      <c r="BL14" s="592">
        <v>0.105</v>
      </c>
      <c r="BM14" s="592">
        <v>0.105</v>
      </c>
      <c r="BN14" s="592">
        <v>0.14799999999999999</v>
      </c>
      <c r="BO14" s="592">
        <v>0.14799999999999999</v>
      </c>
      <c r="BP14" s="592">
        <v>0.14799999999999999</v>
      </c>
      <c r="BQ14" s="592">
        <v>0.188</v>
      </c>
      <c r="BR14" s="592">
        <v>0.188</v>
      </c>
      <c r="BS14" s="592">
        <v>0.188</v>
      </c>
      <c r="BT14" s="592">
        <v>0.193</v>
      </c>
      <c r="BU14" s="592">
        <v>0.193</v>
      </c>
      <c r="BV14" s="594">
        <v>0.193</v>
      </c>
      <c r="BW14" s="592">
        <v>0.156</v>
      </c>
      <c r="BX14" s="592">
        <v>0.156</v>
      </c>
      <c r="BY14" s="592">
        <v>0.156</v>
      </c>
      <c r="BZ14" s="592">
        <v>0.20799999999999999</v>
      </c>
      <c r="CA14" s="592">
        <v>0.20799999999999999</v>
      </c>
      <c r="CB14" s="592">
        <v>0.20799999999999999</v>
      </c>
      <c r="CC14" s="592">
        <v>0.21</v>
      </c>
      <c r="CD14" s="592">
        <v>0.21</v>
      </c>
      <c r="CE14" s="592">
        <v>0.21</v>
      </c>
      <c r="CF14" s="592">
        <f>CH14</f>
        <v>0.40200000000000002</v>
      </c>
      <c r="CG14" s="592">
        <f>CH14</f>
        <v>0.40200000000000002</v>
      </c>
      <c r="CH14" s="592">
        <v>0.40200000000000002</v>
      </c>
      <c r="CI14" s="592">
        <v>0.159</v>
      </c>
      <c r="CJ14" s="592">
        <v>0.159</v>
      </c>
      <c r="CK14" s="592">
        <v>0.159</v>
      </c>
      <c r="CL14" s="592">
        <v>0.20799999999999999</v>
      </c>
      <c r="CM14" s="592">
        <f>CL14</f>
        <v>0.20799999999999999</v>
      </c>
      <c r="CN14" s="592">
        <f>CM14</f>
        <v>0.20799999999999999</v>
      </c>
      <c r="CO14" s="592">
        <v>0.22800000000000001</v>
      </c>
      <c r="CP14" s="592">
        <v>0.22800000000000001</v>
      </c>
      <c r="CQ14" s="592">
        <v>0.22800000000000001</v>
      </c>
      <c r="CR14" s="592">
        <v>0.254</v>
      </c>
      <c r="CS14" s="592">
        <v>0.254</v>
      </c>
      <c r="CT14" s="592">
        <v>0.254</v>
      </c>
      <c r="CU14" s="592">
        <v>0.16800000000000001</v>
      </c>
      <c r="CV14" s="592">
        <f>CU14</f>
        <v>0.16800000000000001</v>
      </c>
      <c r="CW14" s="592">
        <f>CV14</f>
        <v>0.16800000000000001</v>
      </c>
      <c r="CX14" s="592">
        <v>0.19500000000000001</v>
      </c>
      <c r="CY14" s="592">
        <f>CX14</f>
        <v>0.19500000000000001</v>
      </c>
      <c r="CZ14" s="592">
        <f>CY14</f>
        <v>0.19500000000000001</v>
      </c>
      <c r="DA14" s="592">
        <v>0.216</v>
      </c>
      <c r="DB14" s="592">
        <v>0.216</v>
      </c>
      <c r="DC14" s="592">
        <v>0.216</v>
      </c>
      <c r="DD14" s="592">
        <v>0.22800000000000001</v>
      </c>
      <c r="DE14" s="592">
        <v>0.22800000000000001</v>
      </c>
      <c r="DF14" s="592">
        <v>0.22800000000000001</v>
      </c>
      <c r="DG14" s="592">
        <v>0.16300000000000001</v>
      </c>
      <c r="DH14" s="592">
        <v>0.16300000000000001</v>
      </c>
      <c r="DI14" s="592">
        <v>0.16300000000000001</v>
      </c>
      <c r="DJ14" s="592">
        <v>0.24199999999999999</v>
      </c>
      <c r="DK14" s="592">
        <v>0.24199999999999999</v>
      </c>
      <c r="DL14" s="592">
        <v>0.24199999999999999</v>
      </c>
      <c r="DM14" s="592">
        <v>0.28100000000000003</v>
      </c>
      <c r="DN14" s="592">
        <v>0.28100000000000003</v>
      </c>
      <c r="DO14" s="592">
        <v>0.28100000000000003</v>
      </c>
      <c r="DP14" s="592">
        <v>0.32800000000000001</v>
      </c>
      <c r="DQ14" s="592">
        <v>0.32800000000000001</v>
      </c>
      <c r="DR14" s="592">
        <v>0.32800000000000001</v>
      </c>
      <c r="DS14" s="592">
        <v>0.45600000000000002</v>
      </c>
      <c r="DT14" s="592">
        <v>0.45600000000000002</v>
      </c>
      <c r="DU14" s="592">
        <v>0.45600000000000002</v>
      </c>
    </row>
    <row r="15" spans="1:125">
      <c r="B15" s="595" t="s">
        <v>190</v>
      </c>
      <c r="C15" s="596">
        <f t="shared" ref="C15:BN15" si="494">(C4/(1-C14))-C4</f>
        <v>0</v>
      </c>
      <c r="D15" s="596">
        <f t="shared" si="494"/>
        <v>0</v>
      </c>
      <c r="E15" s="596">
        <f t="shared" si="494"/>
        <v>0</v>
      </c>
      <c r="F15" s="596">
        <f t="shared" si="494"/>
        <v>0</v>
      </c>
      <c r="G15" s="596">
        <f t="shared" si="494"/>
        <v>0</v>
      </c>
      <c r="H15" s="596">
        <f t="shared" si="494"/>
        <v>0</v>
      </c>
      <c r="I15" s="596">
        <f t="shared" si="494"/>
        <v>0</v>
      </c>
      <c r="J15" s="596">
        <f t="shared" si="494"/>
        <v>0</v>
      </c>
      <c r="K15" s="596">
        <f t="shared" si="494"/>
        <v>0</v>
      </c>
      <c r="L15" s="596">
        <f t="shared" si="494"/>
        <v>0</v>
      </c>
      <c r="M15" s="596">
        <f t="shared" si="494"/>
        <v>0</v>
      </c>
      <c r="N15" s="596">
        <f t="shared" si="494"/>
        <v>0</v>
      </c>
      <c r="O15" s="596">
        <f t="shared" si="494"/>
        <v>0</v>
      </c>
      <c r="P15" s="596">
        <f t="shared" si="494"/>
        <v>0</v>
      </c>
      <c r="Q15" s="596">
        <f t="shared" si="494"/>
        <v>0</v>
      </c>
      <c r="R15" s="596">
        <f t="shared" si="494"/>
        <v>0</v>
      </c>
      <c r="S15" s="596">
        <f t="shared" si="494"/>
        <v>0</v>
      </c>
      <c r="T15" s="596">
        <f t="shared" si="494"/>
        <v>0</v>
      </c>
      <c r="U15" s="596">
        <f t="shared" si="494"/>
        <v>0</v>
      </c>
      <c r="V15" s="596">
        <f t="shared" si="494"/>
        <v>0</v>
      </c>
      <c r="W15" s="596">
        <f t="shared" si="494"/>
        <v>0</v>
      </c>
      <c r="X15" s="596">
        <f t="shared" si="494"/>
        <v>0</v>
      </c>
      <c r="Y15" s="596">
        <f t="shared" si="494"/>
        <v>0</v>
      </c>
      <c r="Z15" s="596">
        <f t="shared" si="494"/>
        <v>0</v>
      </c>
      <c r="AA15" s="596">
        <f t="shared" si="494"/>
        <v>0</v>
      </c>
      <c r="AB15" s="596">
        <f t="shared" si="494"/>
        <v>0</v>
      </c>
      <c r="AC15" s="596">
        <f t="shared" si="494"/>
        <v>0</v>
      </c>
      <c r="AD15" s="596">
        <f t="shared" si="494"/>
        <v>0</v>
      </c>
      <c r="AE15" s="596">
        <f t="shared" si="494"/>
        <v>0</v>
      </c>
      <c r="AF15" s="596">
        <f t="shared" si="494"/>
        <v>0</v>
      </c>
      <c r="AG15" s="596">
        <f t="shared" si="494"/>
        <v>0</v>
      </c>
      <c r="AH15" s="596">
        <f t="shared" si="494"/>
        <v>0</v>
      </c>
      <c r="AI15" s="596">
        <f t="shared" si="494"/>
        <v>0</v>
      </c>
      <c r="AJ15" s="596">
        <f t="shared" si="494"/>
        <v>0</v>
      </c>
      <c r="AK15" s="596">
        <f t="shared" si="494"/>
        <v>0</v>
      </c>
      <c r="AL15" s="596">
        <f t="shared" si="494"/>
        <v>0</v>
      </c>
      <c r="AM15" s="596">
        <f t="shared" si="494"/>
        <v>0</v>
      </c>
      <c r="AN15" s="596">
        <f t="shared" si="494"/>
        <v>0</v>
      </c>
      <c r="AO15" s="596">
        <f t="shared" si="494"/>
        <v>0</v>
      </c>
      <c r="AP15" s="596">
        <f t="shared" si="494"/>
        <v>0</v>
      </c>
      <c r="AQ15" s="596">
        <f t="shared" si="494"/>
        <v>0</v>
      </c>
      <c r="AR15" s="596">
        <f t="shared" si="494"/>
        <v>0</v>
      </c>
      <c r="AS15" s="596">
        <f t="shared" si="494"/>
        <v>0</v>
      </c>
      <c r="AT15" s="596">
        <f t="shared" si="494"/>
        <v>0</v>
      </c>
      <c r="AU15" s="596">
        <f t="shared" si="494"/>
        <v>0</v>
      </c>
      <c r="AV15" s="596">
        <f t="shared" si="494"/>
        <v>0</v>
      </c>
      <c r="AW15" s="596">
        <f t="shared" si="494"/>
        <v>0</v>
      </c>
      <c r="AX15" s="596">
        <f t="shared" si="494"/>
        <v>0</v>
      </c>
      <c r="AY15" s="596">
        <f t="shared" si="494"/>
        <v>0</v>
      </c>
      <c r="AZ15" s="596">
        <f t="shared" si="494"/>
        <v>0</v>
      </c>
      <c r="BA15" s="596">
        <f t="shared" si="494"/>
        <v>0</v>
      </c>
      <c r="BB15" s="596">
        <f t="shared" si="494"/>
        <v>0</v>
      </c>
      <c r="BC15" s="596">
        <f t="shared" si="494"/>
        <v>0</v>
      </c>
      <c r="BD15" s="596">
        <f t="shared" si="494"/>
        <v>0</v>
      </c>
      <c r="BE15" s="596">
        <f t="shared" si="494"/>
        <v>0</v>
      </c>
      <c r="BF15" s="596">
        <f t="shared" si="494"/>
        <v>0</v>
      </c>
      <c r="BG15" s="596">
        <f t="shared" si="494"/>
        <v>0</v>
      </c>
      <c r="BH15" s="596">
        <f t="shared" si="494"/>
        <v>0</v>
      </c>
      <c r="BI15" s="596">
        <f t="shared" si="494"/>
        <v>0</v>
      </c>
      <c r="BJ15" s="596">
        <f t="shared" si="494"/>
        <v>0</v>
      </c>
      <c r="BK15" s="596">
        <f t="shared" si="494"/>
        <v>204.48603351955308</v>
      </c>
      <c r="BL15" s="596">
        <f t="shared" si="494"/>
        <v>204.48603351955308</v>
      </c>
      <c r="BM15" s="596">
        <f t="shared" si="494"/>
        <v>204.48603351955308</v>
      </c>
      <c r="BN15" s="596">
        <f t="shared" si="494"/>
        <v>117.25352112676057</v>
      </c>
      <c r="BO15" s="596">
        <f t="shared" ref="BO15:BU15" si="495">(BO4/(1-BO14))-BO4</f>
        <v>117.25352112676057</v>
      </c>
      <c r="BP15" s="596">
        <f t="shared" si="495"/>
        <v>117.25352112676057</v>
      </c>
      <c r="BQ15" s="596">
        <f t="shared" si="495"/>
        <v>60.968801313628887</v>
      </c>
      <c r="BR15" s="596">
        <f t="shared" si="495"/>
        <v>60.968801313628887</v>
      </c>
      <c r="BS15" s="596">
        <f t="shared" si="495"/>
        <v>60.968801313628887</v>
      </c>
      <c r="BT15" s="596">
        <f t="shared" si="495"/>
        <v>118.70177612556807</v>
      </c>
      <c r="BU15" s="596">
        <f t="shared" si="495"/>
        <v>118.70177612556807</v>
      </c>
      <c r="BV15" s="596">
        <f>(BV4/(1-BV14))-BV4</f>
        <v>118.70177612556807</v>
      </c>
      <c r="BW15" s="596">
        <f t="shared" ref="BW15:CX15" si="496">(BW4/(1-BW14))-BW4</f>
        <v>121.55924170616117</v>
      </c>
      <c r="BX15" s="596">
        <f t="shared" si="496"/>
        <v>121.55924170616117</v>
      </c>
      <c r="BY15" s="596">
        <f t="shared" si="496"/>
        <v>121.55924170616117</v>
      </c>
      <c r="BZ15" s="596">
        <f t="shared" si="496"/>
        <v>75.636363636363626</v>
      </c>
      <c r="CA15" s="596">
        <f t="shared" si="496"/>
        <v>75.636363636363626</v>
      </c>
      <c r="CB15" s="596">
        <f t="shared" si="496"/>
        <v>75.636363636363626</v>
      </c>
      <c r="CC15" s="596">
        <f t="shared" si="496"/>
        <v>136.10126582278474</v>
      </c>
      <c r="CD15" s="596">
        <f t="shared" si="496"/>
        <v>136.10126582278474</v>
      </c>
      <c r="CE15" s="596">
        <f t="shared" si="496"/>
        <v>136.10126582278474</v>
      </c>
      <c r="CF15" s="596">
        <f t="shared" si="496"/>
        <v>200.55183946488296</v>
      </c>
      <c r="CG15" s="596">
        <f t="shared" si="496"/>
        <v>200.55183946488296</v>
      </c>
      <c r="CH15" s="596">
        <f t="shared" si="496"/>
        <v>200.55183946488296</v>
      </c>
      <c r="CI15" s="596">
        <f t="shared" si="496"/>
        <v>139.84185493460166</v>
      </c>
      <c r="CJ15" s="596">
        <f t="shared" si="496"/>
        <v>139.84185493460166</v>
      </c>
      <c r="CK15" s="596">
        <f t="shared" si="496"/>
        <v>139.84185493460166</v>
      </c>
      <c r="CL15" s="596">
        <f t="shared" si="496"/>
        <v>169.56902356902356</v>
      </c>
      <c r="CM15" s="596">
        <f t="shared" si="496"/>
        <v>169.56902356902356</v>
      </c>
      <c r="CN15" s="596">
        <f t="shared" si="496"/>
        <v>169.56902356902356</v>
      </c>
      <c r="CO15" s="596">
        <f t="shared" si="496"/>
        <v>143.73056994818654</v>
      </c>
      <c r="CP15" s="596">
        <f t="shared" si="496"/>
        <v>143.73056994818654</v>
      </c>
      <c r="CQ15" s="596">
        <f t="shared" si="496"/>
        <v>143.73056994818654</v>
      </c>
      <c r="CR15" s="596">
        <f t="shared" si="496"/>
        <v>113.60768543342272</v>
      </c>
      <c r="CS15" s="596">
        <f t="shared" si="496"/>
        <v>113.60768543342272</v>
      </c>
      <c r="CT15" s="596">
        <f t="shared" si="496"/>
        <v>113.60768543342272</v>
      </c>
      <c r="CU15" s="596">
        <f t="shared" si="496"/>
        <v>123.03846153846155</v>
      </c>
      <c r="CV15" s="596">
        <f t="shared" si="496"/>
        <v>123.03846153846155</v>
      </c>
      <c r="CW15" s="596">
        <f t="shared" si="496"/>
        <v>123.03846153846155</v>
      </c>
      <c r="CX15" s="596">
        <f t="shared" si="496"/>
        <v>138.31677018633548</v>
      </c>
      <c r="CY15" s="596">
        <f t="shared" ref="CY15:DT15" si="497">(CY4/(1-CY14))-CY4</f>
        <v>138.31677018633548</v>
      </c>
      <c r="CZ15" s="596">
        <f t="shared" si="497"/>
        <v>138.31677018633548</v>
      </c>
      <c r="DA15" s="596">
        <f t="shared" si="497"/>
        <v>133.34693877551013</v>
      </c>
      <c r="DB15" s="596">
        <f t="shared" si="497"/>
        <v>133.34693877551013</v>
      </c>
      <c r="DC15" s="596">
        <f t="shared" si="497"/>
        <v>133.34693877551013</v>
      </c>
      <c r="DD15" s="596">
        <f t="shared" si="497"/>
        <v>160.95854922279796</v>
      </c>
      <c r="DE15" s="596">
        <f t="shared" si="497"/>
        <v>160.95854922279796</v>
      </c>
      <c r="DF15" s="596">
        <f t="shared" si="497"/>
        <v>161.25388601036263</v>
      </c>
      <c r="DG15" s="596">
        <f t="shared" si="497"/>
        <v>93.281959378733632</v>
      </c>
      <c r="DH15" s="596">
        <f t="shared" si="497"/>
        <v>93.281959378733632</v>
      </c>
      <c r="DI15" s="596">
        <f t="shared" si="497"/>
        <v>93.281959378733632</v>
      </c>
      <c r="DJ15" s="596">
        <f t="shared" si="497"/>
        <v>116.10466138962181</v>
      </c>
      <c r="DK15" s="596">
        <f t="shared" si="497"/>
        <v>116.21108179419525</v>
      </c>
      <c r="DL15" s="596">
        <f t="shared" si="497"/>
        <v>116.21108179419525</v>
      </c>
      <c r="DM15" s="596">
        <f t="shared" si="497"/>
        <v>204.39916550764951</v>
      </c>
      <c r="DN15" s="596">
        <f t="shared" si="497"/>
        <v>204.39916550764951</v>
      </c>
      <c r="DO15" s="596">
        <f t="shared" si="497"/>
        <v>204.39916550764951</v>
      </c>
      <c r="DP15" s="596">
        <f t="shared" si="497"/>
        <v>255.27380952380963</v>
      </c>
      <c r="DQ15" s="596">
        <f t="shared" si="497"/>
        <v>255.27380952380963</v>
      </c>
      <c r="DR15" s="596">
        <f t="shared" si="497"/>
        <v>255.27380952380963</v>
      </c>
      <c r="DS15" s="596">
        <f>(DS4/(1-DS14))-DS4</f>
        <v>246.16176470588238</v>
      </c>
      <c r="DT15" s="596">
        <f t="shared" si="497"/>
        <v>246.16176470588238</v>
      </c>
      <c r="DU15" s="596">
        <f t="shared" ref="DU15" si="498">(DU4/(1-DU14))-DU4</f>
        <v>246.16176470588238</v>
      </c>
    </row>
    <row r="16" spans="1:125">
      <c r="B16" s="87" t="s">
        <v>191</v>
      </c>
      <c r="C16" s="88">
        <f>SUMIF($C$51:C$51,"="&amp;YEAR(C13),$C$14:C$14)</f>
        <v>0</v>
      </c>
      <c r="D16" s="88">
        <f>SUMIF($C$51:D$51,"="&amp;YEAR(D13),$C$14:D$14)</f>
        <v>0</v>
      </c>
      <c r="E16" s="88">
        <f>SUMIF($C$51:E$51,"="&amp;YEAR(E13),$C$14:E$14)</f>
        <v>0</v>
      </c>
      <c r="F16" s="88">
        <f>SUMIF($C$51:F$51,"="&amp;YEAR(F13),$C$14:F$14)</f>
        <v>0</v>
      </c>
      <c r="G16" s="88">
        <f>SUMIF($C$51:G$51,"="&amp;YEAR(G13),$C$14:G$14)</f>
        <v>0</v>
      </c>
      <c r="H16" s="88">
        <f>SUMIF($C$51:H$51,"="&amp;YEAR(H13),$C$14:H$14)</f>
        <v>0</v>
      </c>
      <c r="I16" s="88">
        <f>SUMIF($C$51:I$51,"="&amp;YEAR(I13),$C$14:I$14)</f>
        <v>0</v>
      </c>
      <c r="J16" s="88">
        <f>SUMIF($C$51:J$51,"="&amp;YEAR(J13),$C$14:J$14)</f>
        <v>0</v>
      </c>
      <c r="K16" s="88">
        <f>SUMIF($C$51:K$51,"="&amp;YEAR(K13),$C$14:K$14)</f>
        <v>0</v>
      </c>
      <c r="L16" s="88">
        <f>SUMIF($C$51:L$51,"="&amp;YEAR(L13),$C$14:L$14)</f>
        <v>0</v>
      </c>
      <c r="M16" s="88">
        <f>SUMIF($C$51:M$51,"="&amp;YEAR(M13),$C$14:M$14)</f>
        <v>0</v>
      </c>
      <c r="N16" s="88">
        <f>SUMIF($C$51:N$51,"="&amp;YEAR(N13),$C$14:N$14)</f>
        <v>0</v>
      </c>
      <c r="O16" s="88">
        <f>SUMIF($C$51:O$51,"="&amp;YEAR(O13),$C$14:O$14)</f>
        <v>0</v>
      </c>
      <c r="P16" s="88">
        <f>SUMIF($C$51:P$51,"="&amp;YEAR(P13),$C$14:P$14)</f>
        <v>0</v>
      </c>
      <c r="Q16" s="88">
        <f>SUMIF($C$51:Q$51,"="&amp;YEAR(Q13),$C$14:Q$14)</f>
        <v>0</v>
      </c>
      <c r="R16" s="88">
        <f>SUMIF($C$51:R$51,"="&amp;YEAR(R13),$C$14:R$14)</f>
        <v>0</v>
      </c>
      <c r="S16" s="88">
        <f>SUMIF($C$51:S$51,"="&amp;YEAR(S13),$C$14:S$14)</f>
        <v>0</v>
      </c>
      <c r="T16" s="88">
        <f>SUMIF($C$51:T$51,"="&amp;YEAR(T13),$C$14:T$14)</f>
        <v>0</v>
      </c>
      <c r="U16" s="88">
        <f>SUMIF($C$51:U$51,"="&amp;YEAR(U13),$C$14:U$14)</f>
        <v>0</v>
      </c>
      <c r="V16" s="88">
        <f>SUMIF($C$51:V$51,"="&amp;YEAR(V13),$C$14:V$14)</f>
        <v>0</v>
      </c>
      <c r="W16" s="88">
        <f>SUMIF($C$51:W$51,"="&amp;YEAR(W13),$C$14:W$14)</f>
        <v>0</v>
      </c>
      <c r="X16" s="88">
        <f>SUMIF($C$51:X$51,"="&amp;YEAR(X13),$C$14:X$14)</f>
        <v>0</v>
      </c>
      <c r="Y16" s="88">
        <f>SUMIF($C$51:Y$51,"="&amp;YEAR(Y13),$C$14:Y$14)</f>
        <v>0</v>
      </c>
      <c r="Z16" s="88">
        <f>SUMIF($C$51:Z$51,"="&amp;YEAR(Z13),$C$14:Z$14)</f>
        <v>0</v>
      </c>
      <c r="AA16" s="88">
        <f>SUMIF($C$51:AA$51,"="&amp;YEAR(AA13),$C$14:AA$14)</f>
        <v>0</v>
      </c>
      <c r="AB16" s="88">
        <f>SUMIF($C$51:AB$51,"="&amp;YEAR(AB13),$C$14:AB$14)</f>
        <v>0</v>
      </c>
      <c r="AC16" s="88">
        <f>SUMIF($C$51:AC$51,"="&amp;YEAR(AC13),$C$14:AC$14)</f>
        <v>0</v>
      </c>
      <c r="AD16" s="88">
        <f>SUMIF($C$51:AD$51,"="&amp;YEAR(AD13),$C$14:AD$14)</f>
        <v>0</v>
      </c>
      <c r="AE16" s="88">
        <f>SUMIF($C$51:AE$51,"="&amp;YEAR(AE13),$C$14:AE$14)</f>
        <v>0</v>
      </c>
      <c r="AF16" s="88">
        <f>SUMIF($C$51:AF$51,"="&amp;YEAR(AF13),$C$14:AF$14)</f>
        <v>0</v>
      </c>
      <c r="AG16" s="88">
        <f>SUMIF($C$51:AG$51,"="&amp;YEAR(AG13),$C$14:AG$14)</f>
        <v>0</v>
      </c>
      <c r="AH16" s="88">
        <f>SUMIF($C$51:AH$51,"="&amp;YEAR(AH13),$C$14:AH$14)</f>
        <v>0</v>
      </c>
      <c r="AI16" s="88">
        <f>SUMIF($C$51:AI$51,"="&amp;YEAR(AI13),$C$14:AI$14)</f>
        <v>0</v>
      </c>
      <c r="AJ16" s="88">
        <f>SUMIF($C$51:AJ$51,"="&amp;YEAR(AJ13),$C$14:AJ$14)</f>
        <v>0</v>
      </c>
      <c r="AK16" s="88">
        <f>SUMIF($C$51:AK$51,"="&amp;YEAR(AK13),$C$14:AK$14)</f>
        <v>0</v>
      </c>
      <c r="AL16" s="88">
        <f>SUMIF($C$51:AL$51,"="&amp;YEAR(AL13),$C$14:AL$14)</f>
        <v>0</v>
      </c>
      <c r="AM16" s="88">
        <f>SUMIF($C$51:AM$51,"="&amp;YEAR(AM13),$C$14:AM$14)</f>
        <v>0</v>
      </c>
      <c r="AN16" s="88">
        <f>SUMIF($C$51:AN$51,"="&amp;YEAR(AN13),$C$14:AN$14)</f>
        <v>0</v>
      </c>
      <c r="AO16" s="88">
        <f>SUMIF($C$51:AO$51,"="&amp;YEAR(AO13),$C$14:AO$14)</f>
        <v>0</v>
      </c>
      <c r="AP16" s="88">
        <f>SUMIF($C$51:AP$51,"="&amp;YEAR(AP13),$C$14:AP$14)</f>
        <v>0</v>
      </c>
      <c r="AQ16" s="88">
        <f>SUMIF($C$51:AQ$51,"="&amp;YEAR(AQ13),$C$14:AQ$14)</f>
        <v>0</v>
      </c>
      <c r="AR16" s="88">
        <f>SUMIF($C$51:AR$51,"="&amp;YEAR(AR13),$C$14:AR$14)</f>
        <v>0</v>
      </c>
      <c r="AS16" s="88">
        <f>SUMIF($C$51:AS$51,"="&amp;YEAR(AS13),$C$14:AS$14)</f>
        <v>0</v>
      </c>
      <c r="AT16" s="88">
        <f>SUMIF($C$51:AT$51,"="&amp;YEAR(AT13),$C$14:AT$14)</f>
        <v>0</v>
      </c>
      <c r="AU16" s="88">
        <f>SUMIF($C$51:AU$51,"="&amp;YEAR(AU13),$C$14:AU$14)</f>
        <v>0</v>
      </c>
      <c r="AV16" s="88">
        <f>SUMIF($C$51:AV$51,"="&amp;YEAR(AV13),$C$14:AV$14)</f>
        <v>0</v>
      </c>
      <c r="AW16" s="88">
        <f>SUMIF($C$51:AW$51,"="&amp;YEAR(AW13),$C$14:AW$14)</f>
        <v>0</v>
      </c>
      <c r="AX16" s="88">
        <f>SUMIF($C$51:AX$51,"="&amp;YEAR(AX13),$C$14:AX$14)</f>
        <v>0</v>
      </c>
      <c r="AY16" s="88">
        <f>SUMIF($C$51:AY$51,"="&amp;YEAR(AY13),$C$14:AY$14)</f>
        <v>0</v>
      </c>
      <c r="AZ16" s="88">
        <f>SUMIF($C$51:AZ$51,"="&amp;YEAR(AZ13),$C$14:AZ$14)</f>
        <v>0</v>
      </c>
      <c r="BA16" s="88">
        <f>SUMIF($C$51:BA$51,"="&amp;YEAR(BA13),$C$14:BA$14)</f>
        <v>0</v>
      </c>
      <c r="BB16" s="88">
        <f>SUMIF($C$51:BB$51,"="&amp;YEAR(BB13),$C$14:BB$14)</f>
        <v>0</v>
      </c>
      <c r="BC16" s="88">
        <f>SUMIF($C$51:BC$51,"="&amp;YEAR(BC13),$C$14:BC$14)</f>
        <v>0</v>
      </c>
      <c r="BD16" s="88">
        <f>SUMIF($C$51:BD$51,"="&amp;YEAR(BD13),$C$14:BD$14)</f>
        <v>0</v>
      </c>
      <c r="BE16" s="88">
        <f>SUMIF($C$51:BE$51,"="&amp;YEAR(BE13),$C$14:BE$14)</f>
        <v>0</v>
      </c>
      <c r="BF16" s="88">
        <f>SUMIF($C$51:BF$51,"="&amp;YEAR(BF13),$C$14:BF$14)</f>
        <v>0</v>
      </c>
      <c r="BG16" s="88">
        <f>SUMIF($C$51:BG$51,"="&amp;YEAR(BG13),$C$14:BG$14)</f>
        <v>0</v>
      </c>
      <c r="BH16" s="88">
        <f>SUMIF($C$51:BH$51,"="&amp;YEAR(BH13),$C$14:BH$14)</f>
        <v>0</v>
      </c>
      <c r="BI16" s="88">
        <f>SUMIF($C$51:BI$51,"="&amp;YEAR(BI13),$C$14:BI$14)</f>
        <v>0</v>
      </c>
      <c r="BJ16" s="88">
        <f>SUMIF($C$51:BJ$51,"="&amp;YEAR(BJ13),$C$14:BJ$14)</f>
        <v>0</v>
      </c>
      <c r="BK16" s="88">
        <f>SUMIF($C$51:BK$51,"="&amp;YEAR(BK13),$C$14:BK$14)</f>
        <v>0.105</v>
      </c>
      <c r="BL16" s="88">
        <f>SUMIF($C$51:BL$51,"="&amp;YEAR(BL13),$C$14:BL$14)</f>
        <v>0.21</v>
      </c>
      <c r="BM16" s="88">
        <f>SUMIF($C$51:BM$51,"="&amp;YEAR(BM13),$C$14:BM$14)</f>
        <v>0.315</v>
      </c>
      <c r="BN16" s="88">
        <f>SUMIF($C$51:BN$51,"="&amp;YEAR(BN13),$C$14:BN$14)</f>
        <v>0.46299999999999997</v>
      </c>
      <c r="BO16" s="88">
        <f>SUMIF($C$51:BO$51,"="&amp;YEAR(BO13),$C$14:BO$14)</f>
        <v>0.61099999999999999</v>
      </c>
      <c r="BP16" s="88">
        <f>SUMIF($C$51:BP$51,"="&amp;YEAR(BP13),$C$14:BP$14)</f>
        <v>0.75900000000000001</v>
      </c>
      <c r="BQ16" s="88">
        <f>SUMIF($C$51:BQ$51,"="&amp;YEAR(BQ13),$C$14:BQ$14)</f>
        <v>0.94700000000000006</v>
      </c>
      <c r="BR16" s="88">
        <f>SUMIF($C$51:BR$51,"="&amp;YEAR(BR13),$C$14:BR$14)</f>
        <v>1.135</v>
      </c>
      <c r="BS16" s="88">
        <f>SUMIF($C$51:BS$51,"="&amp;YEAR(BS13),$C$14:BS$14)</f>
        <v>1.323</v>
      </c>
      <c r="BT16" s="88">
        <f>SUMIF($C$51:BT$51,"="&amp;YEAR(BT13),$C$14:BT$14)</f>
        <v>1.516</v>
      </c>
      <c r="BU16" s="88">
        <f>SUMIF($C$51:BU$51,"="&amp;YEAR(BU13),$C$14:BU$14)</f>
        <v>1.7090000000000001</v>
      </c>
      <c r="BV16" s="88">
        <f>SUMIF($C$51:BV$51,"="&amp;YEAR(BV13),$C$14:BV$14)</f>
        <v>1.9020000000000001</v>
      </c>
      <c r="BW16" s="88">
        <f>SUMIF($C$51:BW$51,"="&amp;YEAR(BW13),$C$14:BW$14)</f>
        <v>0.156</v>
      </c>
      <c r="BX16" s="88">
        <f>SUMIF($C$51:BX$51,"="&amp;YEAR(BX13),$C$14:BX$14)</f>
        <v>0.312</v>
      </c>
      <c r="BY16" s="88">
        <f>SUMIF($C$51:BY$51,"="&amp;YEAR(BY13),$C$14:BY$14)</f>
        <v>0.46799999999999997</v>
      </c>
      <c r="BZ16" s="88">
        <f>SUMIF($C$51:BZ$51,"="&amp;YEAR(BZ13),$C$14:BZ$14)</f>
        <v>0.67599999999999993</v>
      </c>
      <c r="CA16" s="88">
        <f>SUMIF($C$51:CA$51,"="&amp;YEAR(CA13),$C$14:CA$14)</f>
        <v>0.8839999999999999</v>
      </c>
      <c r="CB16" s="88">
        <f>SUMIF($C$51:CB$51,"="&amp;YEAR(CB13),$C$14:CB$14)</f>
        <v>1.0919999999999999</v>
      </c>
      <c r="CC16" s="88">
        <f>SUMIF($C$51:CC$51,"="&amp;YEAR(CC13),$C$14:CC$14)</f>
        <v>1.3019999999999998</v>
      </c>
      <c r="CD16" s="88">
        <f>SUMIF($C$51:CD$51,"="&amp;YEAR(CD13),$C$14:CD$14)</f>
        <v>1.5119999999999998</v>
      </c>
      <c r="CE16" s="88">
        <f>SUMIF($C$51:CE$51,"="&amp;YEAR(CE13),$C$14:CE$14)</f>
        <v>1.7219999999999998</v>
      </c>
      <c r="CF16" s="88">
        <f>SUMIF($C$51:CF$51,"="&amp;YEAR(CF13),$C$14:CF$14)</f>
        <v>2.1239999999999997</v>
      </c>
      <c r="CG16" s="88">
        <f>SUMIF($C$51:CG$51,"="&amp;YEAR(CG13),$C$14:CG$14)</f>
        <v>2.5259999999999998</v>
      </c>
      <c r="CH16" s="88">
        <f>SUMIF($C$51:CH$51,"="&amp;YEAR(CH13),$C$14:CH$14)</f>
        <v>2.9279999999999999</v>
      </c>
      <c r="CI16" s="88">
        <f>SUMIF($C$51:CI$51,"="&amp;YEAR(CI13),$C$14:CI$14)</f>
        <v>0.159</v>
      </c>
      <c r="CJ16" s="88">
        <f>SUMIF($C$51:CJ$51,"="&amp;YEAR(CJ13),$C$14:CJ$14)</f>
        <v>0.318</v>
      </c>
      <c r="CK16" s="88">
        <f>SUMIF($C$51:CK$51,"="&amp;YEAR(CK13),$C$14:CK$14)</f>
        <v>0.47699999999999998</v>
      </c>
      <c r="CL16" s="88">
        <f>SUMIF($C$51:CL$51,"="&amp;YEAR(CL13),$C$14:CL$14)</f>
        <v>0.68499999999999994</v>
      </c>
      <c r="CM16" s="88">
        <f>SUMIF($C$51:CM$51,"="&amp;YEAR(CM13),$C$14:CM$14)</f>
        <v>0.8929999999999999</v>
      </c>
      <c r="CN16" s="88">
        <f>SUMIF($C$51:CN$51,"="&amp;YEAR(CN13),$C$14:CN$14)</f>
        <v>1.101</v>
      </c>
      <c r="CO16" s="88">
        <f>SUMIF($C$51:CO$51,"="&amp;YEAR(CO13),$C$14:CO$14)</f>
        <v>1.329</v>
      </c>
      <c r="CP16" s="88">
        <f>SUMIF($C$51:CP$51,"="&amp;YEAR(CP13),$C$14:CP$14)</f>
        <v>1.5569999999999999</v>
      </c>
      <c r="CQ16" s="88">
        <f>SUMIF($C$51:CQ$51,"="&amp;YEAR(CQ13),$C$14:CQ$14)</f>
        <v>1.7849999999999999</v>
      </c>
      <c r="CR16" s="88">
        <f>SUMIF($C$51:CR$51,"="&amp;YEAR(CR13),$C$14:CR$14)</f>
        <v>2.0389999999999997</v>
      </c>
      <c r="CS16" s="88">
        <f>SUMIF($C$51:CS$51,"="&amp;YEAR(CS13),$C$14:CS$14)</f>
        <v>2.2929999999999997</v>
      </c>
      <c r="CT16" s="88">
        <f>SUMIF($C$51:CT$51,"="&amp;YEAR(CT13),$C$14:CT$14)</f>
        <v>2.5469999999999997</v>
      </c>
      <c r="CU16" s="88">
        <f>SUMIF($C$51:CU$51,"="&amp;YEAR(CU13),$C$14:CU$14)</f>
        <v>0.16800000000000001</v>
      </c>
      <c r="CV16" s="88">
        <f>SUMIF($C$51:CV$51,"="&amp;YEAR(CV13),$C$14:CV$14)</f>
        <v>0.33600000000000002</v>
      </c>
      <c r="CW16" s="88">
        <f>SUMIF($C$51:CW$51,"="&amp;YEAR(CW13),$C$14:CW$14)</f>
        <v>0.504</v>
      </c>
      <c r="CX16" s="88">
        <f>SUMIF($C$51:CX$51,"="&amp;YEAR(CX13),$C$14:CX$14)</f>
        <v>0.69900000000000007</v>
      </c>
      <c r="CY16" s="88">
        <f>SUMIF($C$51:CY$51,"="&amp;YEAR(CY13),$C$14:CY$14)</f>
        <v>0.89400000000000013</v>
      </c>
      <c r="CZ16" s="88">
        <f>SUMIF($C$51:CZ$51,"="&amp;YEAR(CZ13),$C$14:CZ$14)</f>
        <v>1.0890000000000002</v>
      </c>
      <c r="DA16" s="88">
        <f>SUMIF($C$51:DA$51,"="&amp;YEAR(DA13),$C$14:DA$14)</f>
        <v>1.3050000000000002</v>
      </c>
      <c r="DB16" s="88">
        <f>SUMIF($C$51:DB$51,"="&amp;YEAR(DB13),$C$14:DB$14)</f>
        <v>1.5210000000000001</v>
      </c>
      <c r="DC16" s="88">
        <f>SUMIF($C$51:DC$51,"="&amp;YEAR(DC13),$C$14:DC$14)</f>
        <v>1.7370000000000001</v>
      </c>
      <c r="DD16" s="88">
        <f>SUMIF($C$51:DD$51,"="&amp;YEAR(DD13),$C$14:DD$14)</f>
        <v>1.9650000000000001</v>
      </c>
      <c r="DE16" s="88">
        <f>SUMIF($C$51:DE$51,"="&amp;YEAR(DE13),$C$14:DE$14)</f>
        <v>2.1930000000000001</v>
      </c>
      <c r="DF16" s="88">
        <f>SUMIF($C$51:DF$51,"="&amp;YEAR(DF13),$C$14:DF$14)</f>
        <v>2.4210000000000003</v>
      </c>
      <c r="DG16" s="88">
        <f>SUMIF($C$51:DG$51,"="&amp;YEAR(DG13),$C$14:DG$14)</f>
        <v>0.16300000000000001</v>
      </c>
      <c r="DH16" s="88">
        <f>SUMIF($C$51:DH$51,"="&amp;YEAR(DH13),$C$14:DH$14)</f>
        <v>0.32600000000000001</v>
      </c>
      <c r="DI16" s="88">
        <f>SUMIF($C$51:DI$51,"="&amp;YEAR(DI13),$C$14:DI$14)</f>
        <v>0.48899999999999999</v>
      </c>
      <c r="DJ16" s="88">
        <f>SUMIF($C$51:DJ$51,"="&amp;YEAR(DJ13),$C$14:DJ$14)</f>
        <v>0.73099999999999998</v>
      </c>
      <c r="DK16" s="88">
        <f>SUMIF($C$51:DK$51,"="&amp;YEAR(DK13),$C$14:DK$14)</f>
        <v>0.97299999999999998</v>
      </c>
      <c r="DL16" s="88">
        <f>SUMIF($C$51:DL$51,"="&amp;YEAR(DL13),$C$14:DL$14)</f>
        <v>1.2149999999999999</v>
      </c>
      <c r="DM16" s="88">
        <f>SUMIF($C$51:DM$51,"="&amp;YEAR(DM13),$C$14:DM$14)</f>
        <v>1.496</v>
      </c>
      <c r="DN16" s="88">
        <f>SUMIF($C$51:DN$51,"="&amp;YEAR(DN13),$C$14:DN$14)</f>
        <v>1.7770000000000001</v>
      </c>
      <c r="DO16" s="88">
        <f>SUMIF($C$51:DO$51,"="&amp;YEAR(DO13),$C$14:DO$14)</f>
        <v>2.0580000000000003</v>
      </c>
      <c r="DP16" s="88">
        <f>SUMIF($C$51:DP$51,"="&amp;YEAR(DP13),$C$14:DP$14)</f>
        <v>2.3860000000000001</v>
      </c>
      <c r="DQ16" s="88">
        <f>SUMIF($C$51:DQ$51,"="&amp;YEAR(DQ13),$C$14:DQ$14)</f>
        <v>2.714</v>
      </c>
      <c r="DR16" s="88">
        <f>SUMIF($C$51:DR$51,"="&amp;YEAR(DR13),$C$14:DR$14)</f>
        <v>3.0419999999999998</v>
      </c>
      <c r="DS16" s="88">
        <f>SUMIF($C$51:DS$51,"="&amp;YEAR(DS13),$C$14:DS$14)</f>
        <v>0.45600000000000002</v>
      </c>
      <c r="DT16" s="88">
        <f>SUMIF($C$51:DT$51,"="&amp;YEAR(DT13),$C$14:DT$14)</f>
        <v>0.91200000000000003</v>
      </c>
      <c r="DU16" s="88">
        <f>SUMIF($C$51:DU$51,"="&amp;YEAR(DU13),$C$14:DU$14)</f>
        <v>1.3680000000000001</v>
      </c>
    </row>
    <row r="17" spans="1:125">
      <c r="A17" s="126" t="s">
        <v>187</v>
      </c>
      <c r="B17" s="87" t="s">
        <v>192</v>
      </c>
      <c r="C17" s="124" t="s">
        <v>174</v>
      </c>
      <c r="D17" s="124" t="s">
        <v>174</v>
      </c>
      <c r="E17" s="124" t="s">
        <v>174</v>
      </c>
      <c r="F17" s="124" t="s">
        <v>174</v>
      </c>
      <c r="G17" s="124" t="s">
        <v>174</v>
      </c>
      <c r="H17" s="124" t="s">
        <v>174</v>
      </c>
      <c r="I17" s="124" t="s">
        <v>174</v>
      </c>
      <c r="J17" s="124" t="s">
        <v>174</v>
      </c>
      <c r="K17" s="124" t="s">
        <v>174</v>
      </c>
      <c r="L17" s="124" t="s">
        <v>174</v>
      </c>
      <c r="M17" s="124" t="s">
        <v>174</v>
      </c>
      <c r="N17" s="88">
        <f t="shared" ref="N17" si="499">SUM(C14:N14)</f>
        <v>0</v>
      </c>
      <c r="O17" s="88">
        <f t="shared" ref="O17" si="500">SUM(D14:O14)</f>
        <v>0</v>
      </c>
      <c r="P17" s="88">
        <f t="shared" ref="P17" si="501">SUM(E14:P14)</f>
        <v>0</v>
      </c>
      <c r="Q17" s="88">
        <f t="shared" ref="Q17" si="502">SUM(F14:Q14)</f>
        <v>0</v>
      </c>
      <c r="R17" s="88">
        <f t="shared" ref="R17" si="503">SUM(G14:R14)</f>
        <v>0</v>
      </c>
      <c r="S17" s="88">
        <f t="shared" ref="S17" si="504">SUM(H14:S14)</f>
        <v>0</v>
      </c>
      <c r="T17" s="88">
        <f t="shared" ref="T17" si="505">SUM(I14:T14)</f>
        <v>0</v>
      </c>
      <c r="U17" s="88">
        <f t="shared" ref="U17" si="506">SUM(J14:U14)</f>
        <v>0</v>
      </c>
      <c r="V17" s="88">
        <f t="shared" ref="V17" si="507">SUM(K14:V14)</f>
        <v>0</v>
      </c>
      <c r="W17" s="88">
        <f t="shared" ref="W17" si="508">SUM(L14:W14)</f>
        <v>0</v>
      </c>
      <c r="X17" s="88">
        <f t="shared" ref="X17" si="509">SUM(M14:X14)</f>
        <v>0</v>
      </c>
      <c r="Y17" s="88">
        <f t="shared" ref="Y17" si="510">SUM(N14:Y14)</f>
        <v>0</v>
      </c>
      <c r="Z17" s="88">
        <f t="shared" ref="Z17" si="511">SUM(O14:Z14)</f>
        <v>0</v>
      </c>
      <c r="AA17" s="88">
        <f t="shared" ref="AA17" si="512">SUM(P14:AA14)</f>
        <v>0</v>
      </c>
      <c r="AB17" s="88">
        <f t="shared" ref="AB17" si="513">SUM(Q14:AB14)</f>
        <v>0</v>
      </c>
      <c r="AC17" s="88">
        <f t="shared" ref="AC17" si="514">SUM(R14:AC14)</f>
        <v>0</v>
      </c>
      <c r="AD17" s="88">
        <f t="shared" ref="AD17" si="515">SUM(S14:AD14)</f>
        <v>0</v>
      </c>
      <c r="AE17" s="88">
        <f t="shared" ref="AE17" si="516">SUM(T14:AE14)</f>
        <v>0</v>
      </c>
      <c r="AF17" s="88">
        <f t="shared" ref="AF17" si="517">SUM(U14:AF14)</f>
        <v>0</v>
      </c>
      <c r="AG17" s="88">
        <f t="shared" ref="AG17" si="518">SUM(V14:AG14)</f>
        <v>0</v>
      </c>
      <c r="AH17" s="88">
        <f t="shared" ref="AH17" si="519">SUM(W14:AH14)</f>
        <v>0</v>
      </c>
      <c r="AI17" s="88">
        <f t="shared" ref="AI17" si="520">SUM(X14:AI14)</f>
        <v>0</v>
      </c>
      <c r="AJ17" s="88">
        <f t="shared" ref="AJ17" si="521">SUM(Y14:AJ14)</f>
        <v>0</v>
      </c>
      <c r="AK17" s="88">
        <f t="shared" ref="AK17" si="522">SUM(Z14:AK14)</f>
        <v>0</v>
      </c>
      <c r="AL17" s="88">
        <f t="shared" ref="AL17" si="523">SUM(AA14:AL14)</f>
        <v>0</v>
      </c>
      <c r="AM17" s="88">
        <f t="shared" ref="AM17" si="524">SUM(AB14:AM14)</f>
        <v>0</v>
      </c>
      <c r="AN17" s="88">
        <f t="shared" ref="AN17" si="525">SUM(AC14:AN14)</f>
        <v>0</v>
      </c>
      <c r="AO17" s="88">
        <f t="shared" ref="AO17" si="526">SUM(AD14:AO14)</f>
        <v>0</v>
      </c>
      <c r="AP17" s="88">
        <f t="shared" ref="AP17" si="527">SUM(AE14:AP14)</f>
        <v>0</v>
      </c>
      <c r="AQ17" s="88">
        <f t="shared" ref="AQ17" si="528">SUM(AF14:AQ14)</f>
        <v>0</v>
      </c>
      <c r="AR17" s="88">
        <f t="shared" ref="AR17" si="529">SUM(AG14:AR14)</f>
        <v>0</v>
      </c>
      <c r="AS17" s="88">
        <f t="shared" ref="AS17" si="530">SUM(AH14:AS14)</f>
        <v>0</v>
      </c>
      <c r="AT17" s="88">
        <f t="shared" ref="AT17" si="531">SUM(AI14:AT14)</f>
        <v>0</v>
      </c>
      <c r="AU17" s="88">
        <f t="shared" ref="AU17" si="532">SUM(AJ14:AU14)</f>
        <v>0</v>
      </c>
      <c r="AV17" s="88">
        <f t="shared" ref="AV17" si="533">SUM(AK14:AV14)</f>
        <v>0</v>
      </c>
      <c r="AW17" s="88">
        <f t="shared" ref="AW17" si="534">SUM(AL14:AW14)</f>
        <v>0</v>
      </c>
      <c r="AX17" s="88">
        <f t="shared" ref="AX17" si="535">SUM(AM14:AX14)</f>
        <v>0</v>
      </c>
      <c r="AY17" s="88">
        <f t="shared" ref="AY17" si="536">SUM(AN14:AY14)</f>
        <v>0</v>
      </c>
      <c r="AZ17" s="88">
        <f t="shared" ref="AZ17" si="537">SUM(AO14:AZ14)</f>
        <v>0</v>
      </c>
      <c r="BA17" s="88">
        <f t="shared" ref="BA17" si="538">SUM(AP14:BA14)</f>
        <v>0</v>
      </c>
      <c r="BB17" s="88">
        <f t="shared" ref="BB17" si="539">SUM(AQ14:BB14)</f>
        <v>0</v>
      </c>
      <c r="BC17" s="88">
        <f t="shared" ref="BC17" si="540">SUM(AR14:BC14)</f>
        <v>0</v>
      </c>
      <c r="BD17" s="88">
        <f t="shared" ref="BD17" si="541">SUM(AS14:BD14)</f>
        <v>0</v>
      </c>
      <c r="BE17" s="88">
        <f t="shared" ref="BE17" si="542">SUM(AT14:BE14)</f>
        <v>0</v>
      </c>
      <c r="BF17" s="88">
        <f t="shared" ref="BF17" si="543">SUM(AU14:BF14)</f>
        <v>0</v>
      </c>
      <c r="BG17" s="88">
        <f t="shared" ref="BG17" si="544">SUM(AV14:BG14)</f>
        <v>0</v>
      </c>
      <c r="BH17" s="88">
        <f t="shared" ref="BH17" si="545">SUM(AW14:BH14)</f>
        <v>0</v>
      </c>
      <c r="BI17" s="88">
        <f t="shared" ref="BI17" si="546">SUM(AX14:BI14)</f>
        <v>0</v>
      </c>
      <c r="BJ17" s="88">
        <f t="shared" ref="BJ17" si="547">SUM(AY14:BJ14)</f>
        <v>0</v>
      </c>
      <c r="BK17" s="88">
        <f t="shared" ref="BK17" si="548">SUM(AZ14:BK14)</f>
        <v>0.105</v>
      </c>
      <c r="BL17" s="88">
        <f t="shared" ref="BL17" si="549">SUM(BA14:BL14)</f>
        <v>0.21</v>
      </c>
      <c r="BM17" s="88">
        <f t="shared" ref="BM17" si="550">SUM(BB14:BM14)</f>
        <v>0.315</v>
      </c>
      <c r="BN17" s="88">
        <f t="shared" ref="BN17" si="551">SUM(BC14:BN14)</f>
        <v>0.46299999999999997</v>
      </c>
      <c r="BO17" s="88">
        <f t="shared" ref="BO17" si="552">SUM(BD14:BO14)</f>
        <v>0.61099999999999999</v>
      </c>
      <c r="BP17" s="88">
        <f t="shared" ref="BP17" si="553">SUM(BE14:BP14)</f>
        <v>0.75900000000000001</v>
      </c>
      <c r="BQ17" s="88">
        <f t="shared" ref="BQ17" si="554">SUM(BF14:BQ14)</f>
        <v>0.94700000000000006</v>
      </c>
      <c r="BR17" s="88">
        <f t="shared" ref="BR17" si="555">SUM(BG14:BR14)</f>
        <v>1.135</v>
      </c>
      <c r="BS17" s="88">
        <f t="shared" ref="BS17" si="556">SUM(BH14:BS14)</f>
        <v>1.323</v>
      </c>
      <c r="BT17" s="88">
        <f t="shared" ref="BT17" si="557">SUM(BI14:BT14)</f>
        <v>1.516</v>
      </c>
      <c r="BU17" s="88">
        <f>SUM(BJ14:BU14)</f>
        <v>1.7090000000000001</v>
      </c>
      <c r="BV17" s="88">
        <f t="shared" ref="BV17" si="558">SUM(BK14:BV14)</f>
        <v>1.9020000000000001</v>
      </c>
      <c r="BW17" s="88">
        <f t="shared" ref="BW17" si="559">SUM(BL14:BW14)</f>
        <v>1.9530000000000001</v>
      </c>
      <c r="BX17" s="88">
        <f t="shared" ref="BX17" si="560">SUM(BM14:BX14)</f>
        <v>2.004</v>
      </c>
      <c r="BY17" s="88">
        <f t="shared" ref="BY17" si="561">SUM(BN14:BY14)</f>
        <v>2.0549999999999997</v>
      </c>
      <c r="BZ17" s="88">
        <f t="shared" ref="BZ17" si="562">SUM(BO14:BZ14)</f>
        <v>2.1149999999999998</v>
      </c>
      <c r="CA17" s="88">
        <f t="shared" ref="CA17" si="563">SUM(BP14:CA14)</f>
        <v>2.1749999999999998</v>
      </c>
      <c r="CB17" s="88">
        <f t="shared" ref="CB17" si="564">SUM(BQ14:CB14)</f>
        <v>2.2350000000000003</v>
      </c>
      <c r="CC17" s="88">
        <f t="shared" ref="CC17" si="565">SUM(BR14:CC14)</f>
        <v>2.2569999999999997</v>
      </c>
      <c r="CD17" s="88">
        <f t="shared" ref="CD17" si="566">SUM(BS14:CD14)</f>
        <v>2.2789999999999999</v>
      </c>
      <c r="CE17" s="88">
        <f t="shared" ref="CE17" si="567">SUM(BT14:CE14)</f>
        <v>2.3009999999999997</v>
      </c>
      <c r="CF17" s="88">
        <f t="shared" ref="CF17" si="568">SUM(BU14:CF14)</f>
        <v>2.5100000000000002</v>
      </c>
      <c r="CG17" s="88">
        <f t="shared" ref="CG17" si="569">SUM(BV14:CG14)</f>
        <v>2.7189999999999999</v>
      </c>
      <c r="CH17" s="88">
        <f t="shared" ref="CH17" si="570">SUM(BW14:CH14)</f>
        <v>2.9279999999999999</v>
      </c>
      <c r="CI17" s="88">
        <f t="shared" ref="CI17" si="571">SUM(BX14:CI14)</f>
        <v>2.931</v>
      </c>
      <c r="CJ17" s="88">
        <f t="shared" ref="CJ17" si="572">SUM(BY14:CJ14)</f>
        <v>2.9339999999999997</v>
      </c>
      <c r="CK17" s="88">
        <f t="shared" ref="CK17" si="573">SUM(BZ14:CK14)</f>
        <v>2.9369999999999998</v>
      </c>
      <c r="CL17" s="88">
        <f t="shared" ref="CL17" si="574">SUM(CA14:CL14)</f>
        <v>2.9369999999999998</v>
      </c>
      <c r="CM17" s="88">
        <f t="shared" ref="CM17" si="575">SUM(CB14:CM14)</f>
        <v>2.9369999999999998</v>
      </c>
      <c r="CN17" s="88">
        <f t="shared" ref="CN17" si="576">SUM(CC14:CN14)</f>
        <v>2.9370000000000007</v>
      </c>
      <c r="CO17" s="88">
        <f t="shared" ref="CO17" si="577">SUM(CD14:CO14)</f>
        <v>2.955000000000001</v>
      </c>
      <c r="CP17" s="88">
        <f t="shared" ref="CP17" si="578">SUM(CE14:CP14)</f>
        <v>2.9730000000000008</v>
      </c>
      <c r="CQ17" s="88">
        <f t="shared" ref="CQ17" si="579">SUM(CF14:CQ14)</f>
        <v>2.991000000000001</v>
      </c>
      <c r="CR17" s="88">
        <f t="shared" ref="CR17" si="580">SUM(CG14:CR14)</f>
        <v>2.8430000000000004</v>
      </c>
      <c r="CS17" s="88">
        <f t="shared" ref="CS17" si="581">SUM(CH14:CS14)</f>
        <v>2.6950000000000003</v>
      </c>
      <c r="CT17" s="88">
        <f t="shared" ref="CT17" si="582">SUM(CI14:CT14)</f>
        <v>2.5469999999999997</v>
      </c>
      <c r="CU17" s="88">
        <f t="shared" ref="CU17" si="583">SUM(CJ14:CU14)</f>
        <v>2.556</v>
      </c>
      <c r="CV17" s="88">
        <f t="shared" ref="CV17" si="584">SUM(CK14:CV14)</f>
        <v>2.5650000000000004</v>
      </c>
      <c r="CW17" s="88">
        <f t="shared" ref="CW17" si="585">SUM(CL14:CW14)</f>
        <v>2.5740000000000007</v>
      </c>
      <c r="CX17" s="88">
        <f t="shared" ref="CX17" si="586">SUM(CM14:CX14)</f>
        <v>2.5610000000000004</v>
      </c>
      <c r="CY17" s="88">
        <f t="shared" ref="CY17" si="587">SUM(CN14:CY14)</f>
        <v>2.5479999999999996</v>
      </c>
      <c r="CZ17" s="88">
        <f t="shared" ref="CZ17" si="588">SUM(CO14:CZ14)</f>
        <v>2.5349999999999997</v>
      </c>
      <c r="DA17" s="88">
        <f t="shared" ref="DA17" si="589">SUM(CP14:DA14)</f>
        <v>2.5229999999999997</v>
      </c>
      <c r="DB17" s="88">
        <f t="shared" ref="DB17" si="590">SUM(CQ14:DB14)</f>
        <v>2.5110000000000001</v>
      </c>
      <c r="DC17" s="88">
        <f t="shared" ref="DC17" si="591">SUM(CR14:DC14)</f>
        <v>2.4990000000000006</v>
      </c>
      <c r="DD17" s="88">
        <f t="shared" ref="DD17" si="592">SUM(CS14:DD14)</f>
        <v>2.4730000000000008</v>
      </c>
      <c r="DE17" s="88">
        <f t="shared" ref="DE17" si="593">SUM(CT14:DE14)</f>
        <v>2.4470000000000005</v>
      </c>
      <c r="DF17" s="88">
        <f t="shared" ref="DF17" si="594">SUM(CU14:DF14)</f>
        <v>2.4210000000000003</v>
      </c>
      <c r="DG17" s="88">
        <f t="shared" ref="DG17" si="595">SUM(CV14:DG14)</f>
        <v>2.4159999999999999</v>
      </c>
      <c r="DH17" s="88">
        <f t="shared" ref="DH17" si="596">SUM(CW14:DH14)</f>
        <v>2.4109999999999996</v>
      </c>
      <c r="DI17" s="88">
        <f t="shared" ref="DI17" si="597">SUM(CX14:DI14)</f>
        <v>2.4059999999999993</v>
      </c>
      <c r="DJ17" s="88">
        <f t="shared" ref="DJ17" si="598">SUM(CY14:DJ14)</f>
        <v>2.4529999999999998</v>
      </c>
      <c r="DK17" s="88">
        <f t="shared" ref="DK17" si="599">SUM(CZ14:DK14)</f>
        <v>2.5</v>
      </c>
      <c r="DL17" s="88">
        <f t="shared" ref="DL17" si="600">SUM(DA14:DL14)</f>
        <v>2.5470000000000002</v>
      </c>
      <c r="DM17" s="88">
        <f t="shared" ref="DM17" si="601">SUM(DB14:DM14)</f>
        <v>2.6120000000000005</v>
      </c>
      <c r="DN17" s="88">
        <f t="shared" ref="DN17" si="602">SUM(DC14:DN14)</f>
        <v>2.6770000000000005</v>
      </c>
      <c r="DO17" s="88">
        <f t="shared" ref="DO17" si="603">SUM(DD14:DO14)</f>
        <v>2.7420000000000004</v>
      </c>
      <c r="DP17" s="88">
        <f t="shared" ref="DP17" si="604">SUM(DE14:DP14)</f>
        <v>2.8420000000000001</v>
      </c>
      <c r="DQ17" s="88">
        <f t="shared" ref="DQ17" si="605">SUM(DF14:DQ14)</f>
        <v>2.9420000000000002</v>
      </c>
      <c r="DR17" s="88">
        <f t="shared" ref="DR17" si="606">SUM(DG14:DR14)</f>
        <v>3.0419999999999998</v>
      </c>
      <c r="DS17" s="88">
        <f t="shared" ref="DS17" si="607">SUM(DH14:DS14)</f>
        <v>3.335</v>
      </c>
      <c r="DT17" s="88">
        <f t="shared" ref="DT17:DU17" si="608">SUM(DI14:DT14)</f>
        <v>3.6279999999999997</v>
      </c>
      <c r="DU17" s="88">
        <f t="shared" si="608"/>
        <v>3.9210000000000003</v>
      </c>
    </row>
    <row r="18" spans="1:125">
      <c r="B18" s="127"/>
      <c r="C18" s="128"/>
      <c r="D18" s="128"/>
      <c r="E18" s="128"/>
      <c r="F18" s="129"/>
      <c r="G18" s="129"/>
      <c r="H18" s="129"/>
      <c r="I18" s="129"/>
      <c r="J18" s="129"/>
      <c r="K18" s="129"/>
      <c r="L18" s="129"/>
      <c r="M18" s="129"/>
      <c r="N18" s="129"/>
      <c r="O18" s="129"/>
    </row>
    <row r="19" spans="1:125">
      <c r="B19" s="247" t="s">
        <v>193</v>
      </c>
      <c r="C19" s="248">
        <f>$C$3</f>
        <v>42400</v>
      </c>
      <c r="D19" s="248">
        <f>EOMONTH(C19,1)</f>
        <v>42429</v>
      </c>
      <c r="E19" s="248">
        <f t="shared" ref="E19:N19" si="609">EOMONTH(D19,1)</f>
        <v>42460</v>
      </c>
      <c r="F19" s="248">
        <f t="shared" si="609"/>
        <v>42490</v>
      </c>
      <c r="G19" s="248">
        <f t="shared" si="609"/>
        <v>42521</v>
      </c>
      <c r="H19" s="248">
        <f t="shared" si="609"/>
        <v>42551</v>
      </c>
      <c r="I19" s="248">
        <f t="shared" si="609"/>
        <v>42582</v>
      </c>
      <c r="J19" s="248">
        <f t="shared" si="609"/>
        <v>42613</v>
      </c>
      <c r="K19" s="248">
        <f t="shared" si="609"/>
        <v>42643</v>
      </c>
      <c r="L19" s="248">
        <f t="shared" si="609"/>
        <v>42674</v>
      </c>
      <c r="M19" s="248">
        <f t="shared" si="609"/>
        <v>42704</v>
      </c>
      <c r="N19" s="248">
        <f t="shared" si="609"/>
        <v>42735</v>
      </c>
      <c r="O19" s="248">
        <f>EOMONTH(N19,1)</f>
        <v>42766</v>
      </c>
      <c r="P19" s="248">
        <f t="shared" ref="P19:AE19" si="610">EOMONTH(O19,1)</f>
        <v>42794</v>
      </c>
      <c r="Q19" s="248">
        <f t="shared" si="610"/>
        <v>42825</v>
      </c>
      <c r="R19" s="248">
        <f t="shared" si="610"/>
        <v>42855</v>
      </c>
      <c r="S19" s="248">
        <f t="shared" si="610"/>
        <v>42886</v>
      </c>
      <c r="T19" s="248">
        <f t="shared" si="610"/>
        <v>42916</v>
      </c>
      <c r="U19" s="248">
        <f t="shared" si="610"/>
        <v>42947</v>
      </c>
      <c r="V19" s="248">
        <f t="shared" si="610"/>
        <v>42978</v>
      </c>
      <c r="W19" s="248">
        <f t="shared" si="610"/>
        <v>43008</v>
      </c>
      <c r="X19" s="248">
        <f t="shared" si="610"/>
        <v>43039</v>
      </c>
      <c r="Y19" s="248">
        <f t="shared" si="610"/>
        <v>43069</v>
      </c>
      <c r="Z19" s="248">
        <f t="shared" si="610"/>
        <v>43100</v>
      </c>
      <c r="AA19" s="248">
        <f t="shared" si="610"/>
        <v>43131</v>
      </c>
      <c r="AB19" s="248">
        <f t="shared" si="610"/>
        <v>43159</v>
      </c>
      <c r="AC19" s="248">
        <f t="shared" si="610"/>
        <v>43190</v>
      </c>
      <c r="AD19" s="248">
        <f t="shared" si="610"/>
        <v>43220</v>
      </c>
      <c r="AE19" s="248">
        <f t="shared" si="610"/>
        <v>43251</v>
      </c>
      <c r="AF19" s="248">
        <f t="shared" ref="AF19" si="611">EOMONTH(AE19,1)</f>
        <v>43281</v>
      </c>
      <c r="AG19" s="248">
        <f t="shared" ref="AG19" si="612">EOMONTH(AF19,1)</f>
        <v>43312</v>
      </c>
      <c r="AH19" s="248">
        <f t="shared" ref="AH19" si="613">EOMONTH(AG19,1)</f>
        <v>43343</v>
      </c>
      <c r="AI19" s="248">
        <f t="shared" ref="AI19" si="614">EOMONTH(AH19,1)</f>
        <v>43373</v>
      </c>
      <c r="AJ19" s="248">
        <f t="shared" ref="AJ19" si="615">EOMONTH(AI19,1)</f>
        <v>43404</v>
      </c>
      <c r="AK19" s="248">
        <f t="shared" ref="AK19" si="616">EOMONTH(AJ19,1)</f>
        <v>43434</v>
      </c>
      <c r="AL19" s="248">
        <f t="shared" ref="AL19" si="617">EOMONTH(AK19,1)</f>
        <v>43465</v>
      </c>
      <c r="AM19" s="248">
        <f t="shared" ref="AM19" si="618">EOMONTH(AL19,1)</f>
        <v>43496</v>
      </c>
      <c r="AN19" s="248">
        <f t="shared" ref="AN19" si="619">EOMONTH(AM19,1)</f>
        <v>43524</v>
      </c>
      <c r="AO19" s="248">
        <f t="shared" ref="AO19" si="620">EOMONTH(AN19,1)</f>
        <v>43555</v>
      </c>
      <c r="AP19" s="248">
        <f t="shared" ref="AP19" si="621">EOMONTH(AO19,1)</f>
        <v>43585</v>
      </c>
      <c r="AQ19" s="248">
        <f t="shared" ref="AQ19" si="622">EOMONTH(AP19,1)</f>
        <v>43616</v>
      </c>
      <c r="AR19" s="248">
        <f t="shared" ref="AR19" si="623">EOMONTH(AQ19,1)</f>
        <v>43646</v>
      </c>
      <c r="AS19" s="248">
        <f t="shared" ref="AS19" si="624">EOMONTH(AR19,1)</f>
        <v>43677</v>
      </c>
      <c r="AT19" s="248">
        <f t="shared" ref="AT19" si="625">EOMONTH(AS19,1)</f>
        <v>43708</v>
      </c>
      <c r="AU19" s="248">
        <f t="shared" ref="AU19" si="626">EOMONTH(AT19,1)</f>
        <v>43738</v>
      </c>
      <c r="AV19" s="248">
        <f t="shared" ref="AV19" si="627">EOMONTH(AU19,1)</f>
        <v>43769</v>
      </c>
      <c r="AW19" s="248">
        <f t="shared" ref="AW19" si="628">EOMONTH(AV19,1)</f>
        <v>43799</v>
      </c>
      <c r="AX19" s="248">
        <f t="shared" ref="AX19" si="629">EOMONTH(AW19,1)</f>
        <v>43830</v>
      </c>
      <c r="AY19" s="248">
        <f t="shared" ref="AY19" si="630">EOMONTH(AX19,1)</f>
        <v>43861</v>
      </c>
      <c r="AZ19" s="248">
        <f t="shared" ref="AZ19" si="631">EOMONTH(AY19,1)</f>
        <v>43890</v>
      </c>
      <c r="BA19" s="248">
        <f t="shared" ref="BA19" si="632">EOMONTH(AZ19,1)</f>
        <v>43921</v>
      </c>
      <c r="BB19" s="248">
        <f t="shared" ref="BB19" si="633">EOMONTH(BA19,1)</f>
        <v>43951</v>
      </c>
      <c r="BC19" s="248">
        <f t="shared" ref="BC19" si="634">EOMONTH(BB19,1)</f>
        <v>43982</v>
      </c>
      <c r="BD19" s="248">
        <f t="shared" ref="BD19" si="635">EOMONTH(BC19,1)</f>
        <v>44012</v>
      </c>
      <c r="BE19" s="248">
        <f t="shared" ref="BE19" si="636">EOMONTH(BD19,1)</f>
        <v>44043</v>
      </c>
      <c r="BF19" s="248">
        <f t="shared" ref="BF19" si="637">EOMONTH(BE19,1)</f>
        <v>44074</v>
      </c>
      <c r="BG19" s="248">
        <f t="shared" ref="BG19" si="638">EOMONTH(BF19,1)</f>
        <v>44104</v>
      </c>
      <c r="BH19" s="248">
        <f t="shared" ref="BH19" si="639">EOMONTH(BG19,1)</f>
        <v>44135</v>
      </c>
      <c r="BI19" s="248">
        <f t="shared" ref="BI19" si="640">EOMONTH(BH19,1)</f>
        <v>44165</v>
      </c>
      <c r="BJ19" s="248">
        <f t="shared" ref="BJ19" si="641">EOMONTH(BI19,1)</f>
        <v>44196</v>
      </c>
      <c r="BK19" s="248">
        <f t="shared" ref="BK19" si="642">EOMONTH(BJ19,1)</f>
        <v>44227</v>
      </c>
      <c r="BL19" s="248">
        <f t="shared" ref="BL19" si="643">EOMONTH(BK19,1)</f>
        <v>44255</v>
      </c>
      <c r="BM19" s="248">
        <f t="shared" ref="BM19" si="644">EOMONTH(BL19,1)</f>
        <v>44286</v>
      </c>
      <c r="BN19" s="248">
        <f t="shared" ref="BN19" si="645">EOMONTH(BM19,1)</f>
        <v>44316</v>
      </c>
      <c r="BO19" s="248">
        <f t="shared" ref="BO19" si="646">EOMONTH(BN19,1)</f>
        <v>44347</v>
      </c>
      <c r="BP19" s="248">
        <f t="shared" ref="BP19" si="647">EOMONTH(BO19,1)</f>
        <v>44377</v>
      </c>
      <c r="BQ19" s="248">
        <f t="shared" ref="BQ19" si="648">EOMONTH(BP19,1)</f>
        <v>44408</v>
      </c>
      <c r="BR19" s="248">
        <f t="shared" ref="BR19" si="649">EOMONTH(BQ19,1)</f>
        <v>44439</v>
      </c>
      <c r="BS19" s="248">
        <f t="shared" ref="BS19" si="650">EOMONTH(BR19,1)</f>
        <v>44469</v>
      </c>
      <c r="BT19" s="248">
        <f t="shared" ref="BT19" si="651">EOMONTH(BS19,1)</f>
        <v>44500</v>
      </c>
      <c r="BU19" s="248">
        <f>EOMONTH(BT19,1)</f>
        <v>44530</v>
      </c>
      <c r="BV19" s="248">
        <f t="shared" ref="BV19:BW19" si="652">EOMONTH(BU19,1)</f>
        <v>44561</v>
      </c>
      <c r="BW19" s="248">
        <f t="shared" si="652"/>
        <v>44592</v>
      </c>
      <c r="BX19" s="248">
        <f t="shared" ref="BX19:BY19" si="653">EOMONTH(BW19,1)</f>
        <v>44620</v>
      </c>
      <c r="BY19" s="248">
        <f t="shared" si="653"/>
        <v>44651</v>
      </c>
      <c r="BZ19" s="248">
        <f t="shared" ref="BZ19:CA19" si="654">EOMONTH(BY19,1)</f>
        <v>44681</v>
      </c>
      <c r="CA19" s="248">
        <f t="shared" si="654"/>
        <v>44712</v>
      </c>
      <c r="CB19" s="248">
        <f t="shared" ref="CB19:CC19" si="655">EOMONTH(CA19,1)</f>
        <v>44742</v>
      </c>
      <c r="CC19" s="248">
        <f t="shared" si="655"/>
        <v>44773</v>
      </c>
      <c r="CD19" s="248">
        <f t="shared" ref="CD19" si="656">EOMONTH(CC19,1)</f>
        <v>44804</v>
      </c>
      <c r="CE19" s="248">
        <f t="shared" ref="CE19" si="657">EOMONTH(CD19,1)</f>
        <v>44834</v>
      </c>
      <c r="CF19" s="248">
        <f t="shared" ref="CF19" si="658">EOMONTH(CE19,1)</f>
        <v>44865</v>
      </c>
      <c r="CG19" s="248">
        <f t="shared" ref="CG19" si="659">EOMONTH(CF19,1)</f>
        <v>44895</v>
      </c>
      <c r="CH19" s="248">
        <f t="shared" ref="CH19" si="660">EOMONTH(CG19,1)</f>
        <v>44926</v>
      </c>
      <c r="CI19" s="248">
        <f t="shared" ref="CI19" si="661">EOMONTH(CH19,1)</f>
        <v>44957</v>
      </c>
      <c r="CJ19" s="248">
        <f t="shared" ref="CJ19" si="662">EOMONTH(CI19,1)</f>
        <v>44985</v>
      </c>
      <c r="CK19" s="248">
        <f t="shared" ref="CK19" si="663">EOMONTH(CJ19,1)</f>
        <v>45016</v>
      </c>
      <c r="CL19" s="248">
        <f t="shared" ref="CL19" si="664">EOMONTH(CK19,1)</f>
        <v>45046</v>
      </c>
      <c r="CM19" s="248">
        <f t="shared" ref="CM19" si="665">EOMONTH(CL19,1)</f>
        <v>45077</v>
      </c>
      <c r="CN19" s="248">
        <f t="shared" ref="CN19" si="666">EOMONTH(CM19,1)</f>
        <v>45107</v>
      </c>
      <c r="CO19" s="248">
        <f t="shared" ref="CO19" si="667">EOMONTH(CN19,1)</f>
        <v>45138</v>
      </c>
      <c r="CP19" s="248">
        <f t="shared" ref="CP19" si="668">EOMONTH(CO19,1)</f>
        <v>45169</v>
      </c>
      <c r="CQ19" s="248">
        <f t="shared" ref="CQ19" si="669">EOMONTH(CP19,1)</f>
        <v>45199</v>
      </c>
      <c r="CR19" s="248">
        <f t="shared" ref="CR19" si="670">EOMONTH(CQ19,1)</f>
        <v>45230</v>
      </c>
      <c r="CS19" s="248">
        <f t="shared" ref="CS19" si="671">EOMONTH(CR19,1)</f>
        <v>45260</v>
      </c>
      <c r="CT19" s="248">
        <f t="shared" ref="CT19" si="672">EOMONTH(CS19,1)</f>
        <v>45291</v>
      </c>
      <c r="CU19" s="248">
        <f t="shared" ref="CU19" si="673">EOMONTH(CT19,1)</f>
        <v>45322</v>
      </c>
      <c r="CV19" s="248">
        <f t="shared" ref="CV19" si="674">EOMONTH(CU19,1)</f>
        <v>45351</v>
      </c>
      <c r="CW19" s="248">
        <f t="shared" ref="CW19" si="675">EOMONTH(CV19,1)</f>
        <v>45382</v>
      </c>
      <c r="CX19" s="248">
        <f t="shared" ref="CX19" si="676">EOMONTH(CW19,1)</f>
        <v>45412</v>
      </c>
      <c r="CY19" s="248">
        <f t="shared" ref="CY19" si="677">EOMONTH(CX19,1)</f>
        <v>45443</v>
      </c>
      <c r="CZ19" s="248">
        <f t="shared" ref="CZ19" si="678">EOMONTH(CY19,1)</f>
        <v>45473</v>
      </c>
      <c r="DA19" s="248">
        <f t="shared" ref="DA19" si="679">EOMONTH(CZ19,1)</f>
        <v>45504</v>
      </c>
      <c r="DB19" s="248">
        <f t="shared" ref="DB19" si="680">EOMONTH(DA19,1)</f>
        <v>45535</v>
      </c>
      <c r="DC19" s="248">
        <f t="shared" ref="DC19" si="681">EOMONTH(DB19,1)</f>
        <v>45565</v>
      </c>
      <c r="DD19" s="248">
        <f t="shared" ref="DD19" si="682">EOMONTH(DC19,1)</f>
        <v>45596</v>
      </c>
      <c r="DE19" s="248">
        <f t="shared" ref="DE19" si="683">EOMONTH(DD19,1)</f>
        <v>45626</v>
      </c>
      <c r="DF19" s="248">
        <f t="shared" ref="DF19" si="684">EOMONTH(DE19,1)</f>
        <v>45657</v>
      </c>
      <c r="DG19" s="248">
        <f t="shared" ref="DG19" si="685">EOMONTH(DF19,1)</f>
        <v>45688</v>
      </c>
      <c r="DH19" s="248">
        <f t="shared" ref="DH19" si="686">EOMONTH(DG19,1)</f>
        <v>45716</v>
      </c>
      <c r="DI19" s="248">
        <f t="shared" ref="DI19" si="687">EOMONTH(DH19,1)</f>
        <v>45747</v>
      </c>
      <c r="DJ19" s="248">
        <f t="shared" ref="DJ19" si="688">EOMONTH(DI19,1)</f>
        <v>45777</v>
      </c>
      <c r="DK19" s="248">
        <f t="shared" ref="DK19" si="689">EOMONTH(DJ19,1)</f>
        <v>45808</v>
      </c>
      <c r="DL19" s="248">
        <f t="shared" ref="DL19" si="690">EOMONTH(DK19,1)</f>
        <v>45838</v>
      </c>
      <c r="DM19" s="248">
        <f t="shared" ref="DM19" si="691">EOMONTH(DL19,1)</f>
        <v>45869</v>
      </c>
      <c r="DN19" s="248">
        <f t="shared" ref="DN19" si="692">EOMONTH(DM19,1)</f>
        <v>45900</v>
      </c>
      <c r="DO19" s="248">
        <f t="shared" ref="DO19" si="693">EOMONTH(DN19,1)</f>
        <v>45930</v>
      </c>
      <c r="DP19" s="248">
        <f t="shared" ref="DP19" si="694">EOMONTH(DO19,1)</f>
        <v>45961</v>
      </c>
      <c r="DQ19" s="248">
        <f t="shared" ref="DQ19" si="695">EOMONTH(DP19,1)</f>
        <v>45991</v>
      </c>
      <c r="DR19" s="248">
        <f t="shared" ref="DR19" si="696">EOMONTH(DQ19,1)</f>
        <v>46022</v>
      </c>
      <c r="DS19" s="248">
        <f t="shared" ref="DS19" si="697">EOMONTH(DR19,1)</f>
        <v>46053</v>
      </c>
      <c r="DT19" s="248">
        <f t="shared" ref="DT19:DU19" si="698">EOMONTH(DS19,1)</f>
        <v>46081</v>
      </c>
      <c r="DU19" s="248">
        <f t="shared" si="698"/>
        <v>46112</v>
      </c>
    </row>
    <row r="20" spans="1:125">
      <c r="B20" s="372" t="s">
        <v>194</v>
      </c>
      <c r="C20" s="124"/>
      <c r="D20" s="124"/>
      <c r="E20" s="124"/>
      <c r="F20" s="124"/>
      <c r="G20" s="124"/>
      <c r="H20" s="124"/>
      <c r="I20" s="124"/>
      <c r="J20" s="124"/>
      <c r="K20" s="124"/>
      <c r="L20" s="124"/>
      <c r="M20" s="124"/>
      <c r="N20" s="124"/>
      <c r="O20" s="124"/>
      <c r="P20" s="124"/>
      <c r="Q20" s="125"/>
      <c r="R20" s="124"/>
      <c r="S20" s="124"/>
      <c r="T20" s="124"/>
      <c r="U20" s="124"/>
      <c r="V20" s="124"/>
      <c r="W20" s="124"/>
      <c r="X20" s="124"/>
      <c r="Y20" s="124"/>
      <c r="Z20" s="124"/>
      <c r="AA20" s="124"/>
      <c r="AB20" s="124"/>
      <c r="AC20" s="124"/>
      <c r="AD20" s="577"/>
      <c r="AE20" s="577"/>
      <c r="AF20" s="577"/>
      <c r="AG20" s="577"/>
      <c r="AH20" s="577"/>
      <c r="AI20" s="577"/>
      <c r="AJ20" s="577"/>
      <c r="AK20" s="577"/>
      <c r="AL20" s="577"/>
      <c r="AM20" s="577"/>
      <c r="AN20" s="577"/>
      <c r="AO20" s="577"/>
      <c r="AP20" s="577"/>
      <c r="AQ20" s="577"/>
      <c r="AR20" s="577"/>
      <c r="AS20" s="577"/>
      <c r="AT20" s="577"/>
      <c r="AU20" s="577"/>
      <c r="AV20" s="577"/>
      <c r="AW20" s="577"/>
      <c r="AX20" s="577"/>
      <c r="AY20" s="577"/>
      <c r="AZ20" s="577"/>
      <c r="BA20" s="577"/>
      <c r="BB20" s="577"/>
      <c r="BC20" s="577"/>
      <c r="BD20" s="577"/>
      <c r="BE20" s="577"/>
      <c r="BF20" s="577"/>
      <c r="BG20" s="577"/>
      <c r="BH20" s="577"/>
      <c r="BI20" s="577"/>
      <c r="BJ20" s="577"/>
      <c r="BK20" s="577"/>
      <c r="BL20" s="577"/>
      <c r="BM20" s="577"/>
      <c r="BN20" s="577">
        <v>3430</v>
      </c>
      <c r="BO20" s="577">
        <v>3430</v>
      </c>
      <c r="BP20" s="577">
        <v>3430</v>
      </c>
      <c r="BQ20" s="577">
        <v>2817</v>
      </c>
      <c r="BR20" s="577">
        <v>2817</v>
      </c>
      <c r="BS20" s="577">
        <v>2817</v>
      </c>
      <c r="BT20" s="577">
        <v>1501</v>
      </c>
      <c r="BU20" s="577">
        <v>1501</v>
      </c>
      <c r="BV20" s="577">
        <v>1501</v>
      </c>
      <c r="BW20" s="577">
        <v>2141</v>
      </c>
      <c r="BX20" s="577">
        <v>2141</v>
      </c>
      <c r="BY20" s="577">
        <v>2141</v>
      </c>
      <c r="BZ20" s="577">
        <v>1187</v>
      </c>
      <c r="CA20" s="577">
        <v>1187</v>
      </c>
      <c r="CB20" s="577">
        <v>1187</v>
      </c>
      <c r="CC20" s="577">
        <v>1236</v>
      </c>
      <c r="CD20" s="577">
        <v>1236</v>
      </c>
      <c r="CE20" s="577">
        <v>1236</v>
      </c>
      <c r="CF20" s="577">
        <f>CH20</f>
        <v>754</v>
      </c>
      <c r="CG20" s="577">
        <f>CH20</f>
        <v>754</v>
      </c>
      <c r="CH20" s="577">
        <f>3308-2434-120</f>
        <v>754</v>
      </c>
      <c r="CI20" s="577">
        <f>CJ20</f>
        <v>724</v>
      </c>
      <c r="CJ20" s="577">
        <f>CK20</f>
        <v>724</v>
      </c>
      <c r="CK20" s="603">
        <f>2814-1960-130</f>
        <v>724</v>
      </c>
      <c r="CL20" s="577">
        <v>1627</v>
      </c>
      <c r="CM20" s="577">
        <f>CL20</f>
        <v>1627</v>
      </c>
      <c r="CN20" s="577">
        <f>CM20</f>
        <v>1627</v>
      </c>
      <c r="CO20" s="577">
        <f>(1471+3009)-CO23-CO26</f>
        <v>1312</v>
      </c>
      <c r="CP20" s="577">
        <f t="shared" ref="CP20:CQ20" si="699">(1471+3009)-CP23-CP26</f>
        <v>1312</v>
      </c>
      <c r="CQ20" s="577">
        <f t="shared" si="699"/>
        <v>1312</v>
      </c>
      <c r="CR20" s="577">
        <v>1420</v>
      </c>
      <c r="CS20" s="577">
        <v>1420</v>
      </c>
      <c r="CT20" s="577">
        <v>1420</v>
      </c>
      <c r="CU20" s="577"/>
      <c r="CV20" s="577"/>
      <c r="CW20" s="577"/>
      <c r="CX20" s="577"/>
      <c r="CY20" s="577"/>
      <c r="CZ20" s="577"/>
      <c r="DA20" s="577"/>
      <c r="DB20" s="577"/>
      <c r="DC20" s="577"/>
      <c r="DD20" s="577"/>
      <c r="DE20" s="577"/>
      <c r="DF20" s="577"/>
      <c r="DG20" s="577"/>
      <c r="DH20" s="577"/>
      <c r="DI20" s="577"/>
      <c r="DJ20" s="577"/>
      <c r="DK20" s="577"/>
      <c r="DL20" s="577"/>
      <c r="DM20" s="577"/>
      <c r="DN20" s="577"/>
      <c r="DO20" s="577"/>
      <c r="DP20" s="577"/>
      <c r="DQ20" s="577"/>
      <c r="DR20" s="577"/>
      <c r="DS20" s="577"/>
      <c r="DT20" s="577"/>
      <c r="DU20" s="577"/>
    </row>
    <row r="21" spans="1:125">
      <c r="B21" s="372" t="s">
        <v>195</v>
      </c>
      <c r="C21" s="124"/>
      <c r="D21" s="124"/>
      <c r="E21" s="124"/>
      <c r="F21" s="124"/>
      <c r="G21" s="124"/>
      <c r="H21" s="124"/>
      <c r="I21" s="124"/>
      <c r="J21" s="124"/>
      <c r="K21" s="124"/>
      <c r="L21" s="124"/>
      <c r="M21" s="124"/>
      <c r="N21" s="124"/>
      <c r="O21" s="124"/>
      <c r="P21" s="124"/>
      <c r="Q21" s="125"/>
      <c r="R21" s="124"/>
      <c r="S21" s="124"/>
      <c r="T21" s="124"/>
      <c r="U21" s="124"/>
      <c r="V21" s="124"/>
      <c r="W21" s="124"/>
      <c r="X21" s="124"/>
      <c r="Y21" s="124"/>
      <c r="Z21" s="124"/>
      <c r="AA21" s="124"/>
      <c r="AB21" s="124"/>
      <c r="AC21" s="124"/>
      <c r="AD21" s="577"/>
      <c r="AE21" s="577"/>
      <c r="AF21" s="577"/>
      <c r="AG21" s="577"/>
      <c r="AH21" s="577"/>
      <c r="AI21" s="577"/>
      <c r="AJ21" s="577"/>
      <c r="AK21" s="577"/>
      <c r="AL21" s="577"/>
      <c r="AM21" s="577"/>
      <c r="AN21" s="577"/>
      <c r="AO21" s="577"/>
      <c r="AP21" s="577"/>
      <c r="AQ21" s="577"/>
      <c r="AR21" s="577"/>
      <c r="AS21" s="577"/>
      <c r="AT21" s="577"/>
      <c r="AU21" s="577"/>
      <c r="AV21" s="577"/>
      <c r="AW21" s="577"/>
      <c r="AX21" s="577"/>
      <c r="AY21" s="577"/>
      <c r="AZ21" s="577"/>
      <c r="BA21" s="578"/>
      <c r="BB21" s="578"/>
      <c r="BC21" s="578"/>
      <c r="BD21" s="578"/>
      <c r="BE21" s="578"/>
      <c r="BF21" s="578"/>
      <c r="BG21" s="577"/>
      <c r="BH21" s="577"/>
      <c r="BI21" s="577"/>
      <c r="BJ21" s="577"/>
      <c r="BK21" s="577"/>
      <c r="BL21" s="577"/>
      <c r="BM21" s="577"/>
      <c r="BN21" s="577">
        <v>0</v>
      </c>
      <c r="BO21" s="577">
        <v>0</v>
      </c>
      <c r="BP21" s="577">
        <v>0</v>
      </c>
      <c r="BQ21" s="577">
        <v>0</v>
      </c>
      <c r="BR21" s="577">
        <v>0</v>
      </c>
      <c r="BS21" s="577">
        <v>0</v>
      </c>
      <c r="BT21" s="577">
        <v>0</v>
      </c>
      <c r="BU21" s="577">
        <v>0</v>
      </c>
      <c r="BV21" s="577">
        <v>0</v>
      </c>
      <c r="BW21" s="577">
        <v>0</v>
      </c>
      <c r="BX21" s="577">
        <v>0</v>
      </c>
      <c r="BY21" s="577">
        <v>0</v>
      </c>
      <c r="BZ21" s="577">
        <f>CB21</f>
        <v>0</v>
      </c>
      <c r="CA21" s="577">
        <f>CB21</f>
        <v>0</v>
      </c>
      <c r="CB21" s="577">
        <v>0</v>
      </c>
      <c r="CC21" s="577">
        <v>0</v>
      </c>
      <c r="CD21" s="577">
        <v>0</v>
      </c>
      <c r="CE21" s="577">
        <v>0</v>
      </c>
      <c r="CF21" s="577">
        <f>CH21</f>
        <v>0</v>
      </c>
      <c r="CG21" s="577">
        <f>CH21</f>
        <v>0</v>
      </c>
      <c r="CH21" s="577">
        <v>0</v>
      </c>
      <c r="CI21" s="577">
        <v>0</v>
      </c>
      <c r="CJ21" s="577">
        <v>0</v>
      </c>
      <c r="CK21" s="577">
        <v>0</v>
      </c>
      <c r="CL21" s="577">
        <v>0</v>
      </c>
      <c r="CM21" s="577">
        <v>0</v>
      </c>
      <c r="CN21" s="577">
        <v>0</v>
      </c>
      <c r="CO21" s="577">
        <v>0</v>
      </c>
      <c r="CP21" s="577">
        <v>0</v>
      </c>
      <c r="CQ21" s="577">
        <v>0</v>
      </c>
      <c r="CR21" s="577">
        <v>0</v>
      </c>
      <c r="CS21" s="577">
        <v>0</v>
      </c>
      <c r="CT21" s="577">
        <v>0</v>
      </c>
      <c r="CU21" s="577">
        <v>0</v>
      </c>
      <c r="CV21" s="577">
        <v>0</v>
      </c>
      <c r="CW21" s="577">
        <v>0</v>
      </c>
      <c r="CX21" s="577">
        <v>0</v>
      </c>
      <c r="CY21" s="577">
        <v>0</v>
      </c>
      <c r="CZ21" s="577">
        <v>0</v>
      </c>
      <c r="DA21" s="577">
        <v>0</v>
      </c>
      <c r="DB21" s="577">
        <v>0</v>
      </c>
      <c r="DC21" s="577">
        <v>0</v>
      </c>
      <c r="DD21" s="577">
        <v>0</v>
      </c>
      <c r="DE21" s="577">
        <v>0</v>
      </c>
      <c r="DF21" s="577">
        <v>0</v>
      </c>
      <c r="DG21" s="577">
        <v>0</v>
      </c>
      <c r="DH21" s="577">
        <v>0</v>
      </c>
      <c r="DI21" s="577">
        <v>0</v>
      </c>
      <c r="DJ21" s="577">
        <v>0</v>
      </c>
      <c r="DK21" s="577">
        <v>0</v>
      </c>
      <c r="DL21" s="577">
        <v>0</v>
      </c>
      <c r="DM21" s="577">
        <v>0</v>
      </c>
      <c r="DN21" s="577">
        <v>0</v>
      </c>
      <c r="DO21" s="577">
        <v>0</v>
      </c>
      <c r="DP21" s="577"/>
      <c r="DQ21" s="577"/>
      <c r="DR21" s="577"/>
      <c r="DS21" s="577"/>
      <c r="DT21" s="577"/>
      <c r="DU21" s="577"/>
    </row>
    <row r="22" spans="1:125">
      <c r="B22" s="400" t="s">
        <v>196</v>
      </c>
      <c r="C22" s="124"/>
      <c r="D22" s="124"/>
      <c r="E22" s="124"/>
      <c r="F22" s="124"/>
      <c r="G22" s="124"/>
      <c r="H22" s="124"/>
      <c r="I22" s="124"/>
      <c r="J22" s="124"/>
      <c r="K22" s="124"/>
      <c r="L22" s="124"/>
      <c r="M22" s="124"/>
      <c r="N22" s="124"/>
      <c r="O22" s="124"/>
      <c r="P22" s="124"/>
      <c r="Q22" s="125"/>
      <c r="R22" s="124"/>
      <c r="S22" s="124"/>
      <c r="T22" s="124"/>
      <c r="U22" s="124"/>
      <c r="V22" s="124"/>
      <c r="W22" s="124"/>
      <c r="X22" s="124"/>
      <c r="Y22" s="124"/>
      <c r="Z22" s="124"/>
      <c r="AA22" s="124"/>
      <c r="AB22" s="124"/>
      <c r="AC22" s="124"/>
      <c r="AD22" s="579"/>
      <c r="AE22" s="579"/>
      <c r="AF22" s="579"/>
      <c r="AG22" s="579"/>
      <c r="AH22" s="579"/>
      <c r="AI22" s="579"/>
      <c r="AJ22" s="579"/>
      <c r="AK22" s="579"/>
      <c r="AL22" s="579"/>
      <c r="AM22" s="579"/>
      <c r="AN22" s="579"/>
      <c r="AO22" s="579"/>
      <c r="AP22" s="579"/>
      <c r="AQ22" s="579"/>
      <c r="AR22" s="579"/>
      <c r="AS22" s="579"/>
      <c r="AT22" s="579"/>
      <c r="AU22" s="579"/>
      <c r="AV22" s="579"/>
      <c r="AW22" s="579"/>
      <c r="AX22" s="579"/>
      <c r="AY22" s="579"/>
      <c r="AZ22" s="579"/>
      <c r="BA22" s="579"/>
      <c r="BB22" s="579"/>
      <c r="BC22" s="579"/>
      <c r="BD22" s="579"/>
      <c r="BE22" s="579"/>
      <c r="BF22" s="579"/>
      <c r="BG22" s="579"/>
      <c r="BH22" s="579"/>
      <c r="BI22" s="579"/>
      <c r="BJ22" s="579"/>
      <c r="BK22" s="579"/>
      <c r="BL22" s="579"/>
      <c r="BM22" s="579"/>
      <c r="BN22" s="579">
        <v>0</v>
      </c>
      <c r="BO22" s="579">
        <v>0</v>
      </c>
      <c r="BP22" s="579">
        <v>0</v>
      </c>
      <c r="BQ22" s="579">
        <v>3090</v>
      </c>
      <c r="BR22" s="579">
        <v>3090</v>
      </c>
      <c r="BS22" s="579">
        <v>3090</v>
      </c>
      <c r="BT22" s="579">
        <v>2055</v>
      </c>
      <c r="BU22" s="579">
        <v>2055</v>
      </c>
      <c r="BV22" s="579">
        <v>2055</v>
      </c>
      <c r="BW22" s="579">
        <v>2249</v>
      </c>
      <c r="BX22" s="579">
        <v>2249</v>
      </c>
      <c r="BY22" s="579">
        <v>2249</v>
      </c>
      <c r="BZ22" s="579">
        <v>1266</v>
      </c>
      <c r="CA22" s="579">
        <v>1266</v>
      </c>
      <c r="CB22" s="579">
        <v>1266</v>
      </c>
      <c r="CC22" s="579">
        <v>1255</v>
      </c>
      <c r="CD22" s="579">
        <v>1255</v>
      </c>
      <c r="CE22" s="579">
        <v>1255</v>
      </c>
      <c r="CF22" s="579">
        <f>CH22</f>
        <v>702</v>
      </c>
      <c r="CG22" s="579">
        <f>CH22</f>
        <v>702</v>
      </c>
      <c r="CH22" s="579">
        <v>702</v>
      </c>
      <c r="CI22" s="579">
        <v>1555</v>
      </c>
      <c r="CJ22" s="579">
        <v>1555</v>
      </c>
      <c r="CK22" s="579">
        <v>1555</v>
      </c>
      <c r="CL22" s="579">
        <v>1638</v>
      </c>
      <c r="CM22" s="579">
        <f>CL22</f>
        <v>1638</v>
      </c>
      <c r="CN22" s="579">
        <f>CM22</f>
        <v>1638</v>
      </c>
      <c r="CO22" s="579">
        <v>1377</v>
      </c>
      <c r="CP22" s="579">
        <v>1377</v>
      </c>
      <c r="CQ22" s="579">
        <v>1377</v>
      </c>
      <c r="CR22" s="579">
        <v>590</v>
      </c>
      <c r="CS22" s="579">
        <v>590</v>
      </c>
      <c r="CT22" s="579">
        <v>590</v>
      </c>
      <c r="CU22" s="579">
        <v>1335</v>
      </c>
      <c r="CV22" s="579">
        <f>CU22</f>
        <v>1335</v>
      </c>
      <c r="CW22" s="579">
        <f>CV22</f>
        <v>1335</v>
      </c>
      <c r="CX22" s="579">
        <v>1393</v>
      </c>
      <c r="CY22" s="579">
        <f>CX22</f>
        <v>1393</v>
      </c>
      <c r="CZ22" s="579">
        <f>CY22</f>
        <v>1393</v>
      </c>
      <c r="DA22" s="579">
        <f>(4179*0.85)/3</f>
        <v>1184.05</v>
      </c>
      <c r="DB22" s="579">
        <f>(4179*0.85)/3</f>
        <v>1184.05</v>
      </c>
      <c r="DC22" s="579">
        <f>(4179*0.85)/3</f>
        <v>1184.05</v>
      </c>
      <c r="DD22" s="579">
        <v>599</v>
      </c>
      <c r="DE22" s="579">
        <v>599</v>
      </c>
      <c r="DF22" s="579">
        <v>599</v>
      </c>
      <c r="DG22" s="579">
        <v>1040</v>
      </c>
      <c r="DH22" s="579">
        <v>1040</v>
      </c>
      <c r="DI22" s="579">
        <v>1040</v>
      </c>
      <c r="DJ22" s="579">
        <v>808</v>
      </c>
      <c r="DK22" s="579">
        <v>808</v>
      </c>
      <c r="DL22" s="579">
        <v>808</v>
      </c>
      <c r="DM22" s="579">
        <v>895</v>
      </c>
      <c r="DN22" s="579">
        <v>895</v>
      </c>
      <c r="DO22" s="579">
        <v>895</v>
      </c>
      <c r="DP22" s="579">
        <f>1394/3</f>
        <v>464.66666666666669</v>
      </c>
      <c r="DQ22" s="579">
        <v>465</v>
      </c>
      <c r="DR22" s="579">
        <v>465</v>
      </c>
      <c r="DS22" s="579">
        <v>1699</v>
      </c>
      <c r="DT22" s="579">
        <v>1699</v>
      </c>
      <c r="DU22" s="579">
        <v>1699</v>
      </c>
    </row>
    <row r="23" spans="1:125">
      <c r="B23" s="372" t="s">
        <v>197</v>
      </c>
      <c r="C23" s="124"/>
      <c r="D23" s="124"/>
      <c r="E23" s="124"/>
      <c r="F23" s="124"/>
      <c r="G23" s="124"/>
      <c r="H23" s="124"/>
      <c r="I23" s="124"/>
      <c r="J23" s="124"/>
      <c r="K23" s="124"/>
      <c r="L23" s="124"/>
      <c r="M23" s="124"/>
      <c r="N23" s="124"/>
      <c r="O23" s="124"/>
      <c r="P23" s="124"/>
      <c r="Q23" s="125"/>
      <c r="R23" s="124"/>
      <c r="S23" s="124"/>
      <c r="T23" s="124"/>
      <c r="U23" s="124"/>
      <c r="V23" s="124"/>
      <c r="W23" s="124"/>
      <c r="X23" s="124"/>
      <c r="Y23" s="124"/>
      <c r="Z23" s="124"/>
      <c r="AA23" s="124"/>
      <c r="AB23" s="124"/>
      <c r="AC23" s="124"/>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79"/>
      <c r="BG23" s="579"/>
      <c r="BH23" s="579"/>
      <c r="BI23" s="579"/>
      <c r="BJ23" s="579"/>
      <c r="BK23" s="579"/>
      <c r="BL23" s="579"/>
      <c r="BM23" s="579"/>
      <c r="BN23" s="579">
        <v>1203</v>
      </c>
      <c r="BO23" s="579">
        <v>1203</v>
      </c>
      <c r="BP23" s="579">
        <v>1203</v>
      </c>
      <c r="BQ23" s="579">
        <v>1944</v>
      </c>
      <c r="BR23" s="579">
        <v>1944</v>
      </c>
      <c r="BS23" s="579">
        <v>1944</v>
      </c>
      <c r="BT23" s="579">
        <f>BU23</f>
        <v>2095</v>
      </c>
      <c r="BU23" s="579">
        <f>BV23</f>
        <v>2095</v>
      </c>
      <c r="BV23" s="579">
        <v>2095</v>
      </c>
      <c r="BW23" s="579">
        <v>2178</v>
      </c>
      <c r="BX23" s="579">
        <v>2178</v>
      </c>
      <c r="BY23" s="579">
        <v>2178</v>
      </c>
      <c r="BZ23" s="579">
        <f>CB23</f>
        <v>3514</v>
      </c>
      <c r="CA23" s="579">
        <f>CB23</f>
        <v>3514</v>
      </c>
      <c r="CB23" s="579">
        <v>3514</v>
      </c>
      <c r="CC23" s="579">
        <v>2754</v>
      </c>
      <c r="CD23" s="579">
        <v>2754</v>
      </c>
      <c r="CE23" s="579">
        <v>2754</v>
      </c>
      <c r="CF23" s="579">
        <f>CH23</f>
        <v>2434</v>
      </c>
      <c r="CG23" s="579">
        <f>CH23</f>
        <v>2434</v>
      </c>
      <c r="CH23" s="579">
        <v>2434</v>
      </c>
      <c r="CI23" s="579">
        <v>1960</v>
      </c>
      <c r="CJ23" s="579">
        <v>1960</v>
      </c>
      <c r="CK23" s="579">
        <v>1960</v>
      </c>
      <c r="CL23" s="579">
        <v>2386</v>
      </c>
      <c r="CM23" s="579">
        <f>CL23</f>
        <v>2386</v>
      </c>
      <c r="CN23" s="579">
        <f>CM23</f>
        <v>2386</v>
      </c>
      <c r="CO23" s="579">
        <f>3168-CO26</f>
        <v>3028</v>
      </c>
      <c r="CP23" s="579">
        <f t="shared" ref="CP23:CQ23" si="700">3168-CP26</f>
        <v>3028</v>
      </c>
      <c r="CQ23" s="579">
        <f t="shared" si="700"/>
        <v>3028</v>
      </c>
      <c r="CR23" s="579">
        <f>3068-CR26</f>
        <v>2933</v>
      </c>
      <c r="CS23" s="579">
        <f t="shared" ref="CS23:CT23" si="701">3068-CS26</f>
        <v>2933</v>
      </c>
      <c r="CT23" s="579">
        <f t="shared" si="701"/>
        <v>2933</v>
      </c>
      <c r="CU23" s="579">
        <f>3223-CU26</f>
        <v>3088</v>
      </c>
      <c r="CV23" s="579">
        <f t="shared" ref="CV23:CW23" si="702">3223-CV26</f>
        <v>3088</v>
      </c>
      <c r="CW23" s="579">
        <f t="shared" si="702"/>
        <v>3088</v>
      </c>
      <c r="CX23" s="579">
        <f>3046-CX26</f>
        <v>2911</v>
      </c>
      <c r="CY23" s="579">
        <f t="shared" ref="CY23:CZ23" si="703">3046-CY26</f>
        <v>2911</v>
      </c>
      <c r="CZ23" s="579">
        <f t="shared" si="703"/>
        <v>2911</v>
      </c>
      <c r="DA23" s="579">
        <f>(3420/3)-DA26</f>
        <v>1005</v>
      </c>
      <c r="DB23" s="579">
        <f>(3420/3)-DB26</f>
        <v>1005</v>
      </c>
      <c r="DC23" s="579">
        <f>(3420/3)-DC26</f>
        <v>1005</v>
      </c>
      <c r="DD23" s="579">
        <v>1358</v>
      </c>
      <c r="DE23" s="579">
        <v>1358</v>
      </c>
      <c r="DF23" s="579">
        <v>1358</v>
      </c>
      <c r="DG23" s="579">
        <v>1522</v>
      </c>
      <c r="DH23" s="579">
        <v>1522</v>
      </c>
      <c r="DI23" s="579">
        <v>1522</v>
      </c>
      <c r="DJ23" s="579">
        <v>1512</v>
      </c>
      <c r="DK23" s="579">
        <v>1512</v>
      </c>
      <c r="DL23" s="579">
        <v>1512</v>
      </c>
      <c r="DM23" s="579">
        <v>2801</v>
      </c>
      <c r="DN23" s="579">
        <v>2801</v>
      </c>
      <c r="DO23" s="579">
        <v>2801</v>
      </c>
      <c r="DP23" s="579"/>
      <c r="DQ23" s="579"/>
      <c r="DR23" s="579"/>
      <c r="DS23" s="579">
        <v>1355</v>
      </c>
      <c r="DT23" s="579">
        <v>1355</v>
      </c>
      <c r="DU23" s="579">
        <v>1355</v>
      </c>
    </row>
    <row r="24" spans="1:125">
      <c r="B24" s="372" t="s">
        <v>198</v>
      </c>
      <c r="C24" s="124">
        <v>0</v>
      </c>
      <c r="D24" s="124">
        <v>0</v>
      </c>
      <c r="E24" s="124">
        <v>0</v>
      </c>
      <c r="F24" s="124">
        <v>0</v>
      </c>
      <c r="G24" s="124">
        <v>0</v>
      </c>
      <c r="H24" s="124">
        <v>0</v>
      </c>
      <c r="I24" s="124">
        <v>0</v>
      </c>
      <c r="J24" s="124">
        <v>0</v>
      </c>
      <c r="K24" s="124">
        <v>0</v>
      </c>
      <c r="L24" s="124">
        <v>0</v>
      </c>
      <c r="M24" s="124">
        <v>0</v>
      </c>
      <c r="N24" s="124"/>
      <c r="O24" s="124"/>
      <c r="P24" s="124"/>
      <c r="Q24" s="125"/>
      <c r="R24" s="124"/>
      <c r="S24" s="124"/>
      <c r="T24" s="124"/>
      <c r="U24" s="124"/>
      <c r="V24" s="124"/>
      <c r="W24" s="124"/>
      <c r="X24" s="124"/>
      <c r="Y24" s="124"/>
      <c r="Z24" s="124"/>
      <c r="AA24" s="124"/>
      <c r="AB24" s="124"/>
      <c r="AC24" s="124"/>
      <c r="AD24" s="577"/>
      <c r="AE24" s="577"/>
      <c r="AF24" s="577"/>
      <c r="AG24" s="577"/>
      <c r="AH24" s="577"/>
      <c r="AI24" s="577"/>
      <c r="AJ24" s="577"/>
      <c r="AK24" s="577"/>
      <c r="AL24" s="577"/>
      <c r="AM24" s="577"/>
      <c r="AN24" s="577"/>
      <c r="AO24" s="577"/>
      <c r="AP24" s="577"/>
      <c r="AQ24" s="577"/>
      <c r="AR24" s="577"/>
      <c r="AS24" s="577"/>
      <c r="AT24" s="577"/>
      <c r="AU24" s="577"/>
      <c r="AV24" s="577"/>
      <c r="AW24" s="577"/>
      <c r="AX24" s="577"/>
      <c r="AY24" s="577"/>
      <c r="AZ24" s="577"/>
      <c r="BA24" s="577"/>
      <c r="BB24" s="577"/>
      <c r="BC24" s="577"/>
      <c r="BD24" s="577"/>
      <c r="BE24" s="577"/>
      <c r="BF24" s="577"/>
      <c r="BG24" s="577"/>
      <c r="BH24" s="577"/>
      <c r="BI24" s="577"/>
      <c r="BJ24" s="577"/>
      <c r="BK24" s="577"/>
      <c r="BL24" s="577"/>
      <c r="BM24" s="577"/>
      <c r="BN24" s="577">
        <v>0</v>
      </c>
      <c r="BO24" s="577">
        <v>0</v>
      </c>
      <c r="BP24" s="577">
        <v>0</v>
      </c>
      <c r="BQ24" s="577">
        <v>0</v>
      </c>
      <c r="BR24" s="577">
        <v>0</v>
      </c>
      <c r="BS24" s="577">
        <v>0</v>
      </c>
      <c r="BT24" s="577">
        <v>0</v>
      </c>
      <c r="BU24" s="577">
        <v>0</v>
      </c>
      <c r="BV24" s="577">
        <v>0</v>
      </c>
      <c r="BW24" s="577">
        <v>0</v>
      </c>
      <c r="BX24" s="577">
        <v>0</v>
      </c>
      <c r="BY24" s="577">
        <v>0</v>
      </c>
      <c r="BZ24" s="577">
        <v>0</v>
      </c>
      <c r="CA24" s="577">
        <v>0</v>
      </c>
      <c r="CB24" s="577">
        <v>0</v>
      </c>
      <c r="CC24" s="577">
        <v>0</v>
      </c>
      <c r="CD24" s="577">
        <v>0</v>
      </c>
      <c r="CE24" s="577">
        <v>0</v>
      </c>
      <c r="CF24" s="577">
        <f>CH24</f>
        <v>0</v>
      </c>
      <c r="CG24" s="577">
        <f>CH24</f>
        <v>0</v>
      </c>
      <c r="CH24" s="577">
        <v>0</v>
      </c>
      <c r="CI24" s="577">
        <v>0</v>
      </c>
      <c r="CJ24" s="577">
        <v>0</v>
      </c>
      <c r="CK24" s="577">
        <v>0</v>
      </c>
      <c r="CL24" s="577">
        <v>0</v>
      </c>
      <c r="CM24" s="577">
        <v>0</v>
      </c>
      <c r="CN24" s="577">
        <v>0</v>
      </c>
      <c r="CO24" s="577">
        <v>0</v>
      </c>
      <c r="CP24" s="577">
        <v>0</v>
      </c>
      <c r="CQ24" s="577">
        <v>0</v>
      </c>
      <c r="CR24" s="577">
        <v>0</v>
      </c>
      <c r="CS24" s="577">
        <v>0</v>
      </c>
      <c r="CT24" s="577">
        <v>0</v>
      </c>
      <c r="CU24" s="577">
        <v>0</v>
      </c>
      <c r="CV24" s="577">
        <v>0</v>
      </c>
      <c r="CW24" s="577">
        <v>0</v>
      </c>
      <c r="CX24" s="577">
        <v>0</v>
      </c>
      <c r="CY24" s="577">
        <v>0</v>
      </c>
      <c r="CZ24" s="577">
        <v>0</v>
      </c>
      <c r="DA24" s="577">
        <v>0</v>
      </c>
      <c r="DB24" s="577">
        <v>0</v>
      </c>
      <c r="DC24" s="577">
        <v>0</v>
      </c>
      <c r="DD24" s="577">
        <v>0</v>
      </c>
      <c r="DE24" s="577">
        <v>0</v>
      </c>
      <c r="DF24" s="577">
        <v>0</v>
      </c>
      <c r="DG24" s="577">
        <v>0</v>
      </c>
      <c r="DH24" s="577">
        <v>0</v>
      </c>
      <c r="DI24" s="577">
        <v>0</v>
      </c>
      <c r="DJ24" s="577">
        <v>0</v>
      </c>
      <c r="DK24" s="577">
        <v>0</v>
      </c>
      <c r="DL24" s="577">
        <v>0</v>
      </c>
      <c r="DM24" s="577">
        <v>0</v>
      </c>
      <c r="DN24" s="577">
        <v>0</v>
      </c>
      <c r="DO24" s="577">
        <v>0</v>
      </c>
      <c r="DP24" s="577"/>
      <c r="DQ24" s="577"/>
      <c r="DR24" s="577"/>
      <c r="DS24" s="577"/>
      <c r="DT24" s="577"/>
      <c r="DU24" s="577"/>
    </row>
    <row r="25" spans="1:125">
      <c r="B25" s="87" t="s">
        <v>199</v>
      </c>
      <c r="C25" s="88">
        <f>SUM(C23:C24)</f>
        <v>0</v>
      </c>
      <c r="D25" s="88">
        <f t="shared" ref="D25:M25" si="704">SUM(D23:D24)</f>
        <v>0</v>
      </c>
      <c r="E25" s="88">
        <f t="shared" si="704"/>
        <v>0</v>
      </c>
      <c r="F25" s="88">
        <f t="shared" si="704"/>
        <v>0</v>
      </c>
      <c r="G25" s="88">
        <f t="shared" si="704"/>
        <v>0</v>
      </c>
      <c r="H25" s="88">
        <f t="shared" si="704"/>
        <v>0</v>
      </c>
      <c r="I25" s="88">
        <f t="shared" si="704"/>
        <v>0</v>
      </c>
      <c r="J25" s="88">
        <f t="shared" si="704"/>
        <v>0</v>
      </c>
      <c r="K25" s="88">
        <f t="shared" si="704"/>
        <v>0</v>
      </c>
      <c r="L25" s="88">
        <f t="shared" si="704"/>
        <v>0</v>
      </c>
      <c r="M25" s="88">
        <f t="shared" si="704"/>
        <v>0</v>
      </c>
      <c r="N25" s="88">
        <f>SUM(N23:N24)</f>
        <v>0</v>
      </c>
      <c r="O25" s="88">
        <f t="shared" ref="O25:R25" si="705">SUM(O23:O24)</f>
        <v>0</v>
      </c>
      <c r="P25" s="88">
        <f t="shared" si="705"/>
        <v>0</v>
      </c>
      <c r="Q25" s="88">
        <f t="shared" si="705"/>
        <v>0</v>
      </c>
      <c r="R25" s="88">
        <f t="shared" si="705"/>
        <v>0</v>
      </c>
      <c r="S25" s="88">
        <f t="shared" ref="S25:CD25" si="706">SUM(S23:S24)</f>
        <v>0</v>
      </c>
      <c r="T25" s="88">
        <f t="shared" si="706"/>
        <v>0</v>
      </c>
      <c r="U25" s="88">
        <f t="shared" si="706"/>
        <v>0</v>
      </c>
      <c r="V25" s="88">
        <f t="shared" si="706"/>
        <v>0</v>
      </c>
      <c r="W25" s="88">
        <f t="shared" si="706"/>
        <v>0</v>
      </c>
      <c r="X25" s="88">
        <f t="shared" si="706"/>
        <v>0</v>
      </c>
      <c r="Y25" s="88">
        <f t="shared" si="706"/>
        <v>0</v>
      </c>
      <c r="Z25" s="88">
        <f t="shared" si="706"/>
        <v>0</v>
      </c>
      <c r="AA25" s="88">
        <f t="shared" si="706"/>
        <v>0</v>
      </c>
      <c r="AB25" s="88">
        <f t="shared" si="706"/>
        <v>0</v>
      </c>
      <c r="AC25" s="88">
        <f t="shared" si="706"/>
        <v>0</v>
      </c>
      <c r="AD25" s="88">
        <f t="shared" si="706"/>
        <v>0</v>
      </c>
      <c r="AE25" s="88">
        <f t="shared" si="706"/>
        <v>0</v>
      </c>
      <c r="AF25" s="88">
        <f t="shared" si="706"/>
        <v>0</v>
      </c>
      <c r="AG25" s="88">
        <f t="shared" si="706"/>
        <v>0</v>
      </c>
      <c r="AH25" s="88">
        <f t="shared" si="706"/>
        <v>0</v>
      </c>
      <c r="AI25" s="88">
        <f t="shared" si="706"/>
        <v>0</v>
      </c>
      <c r="AJ25" s="88">
        <f t="shared" si="706"/>
        <v>0</v>
      </c>
      <c r="AK25" s="88">
        <f t="shared" si="706"/>
        <v>0</v>
      </c>
      <c r="AL25" s="88">
        <f t="shared" si="706"/>
        <v>0</v>
      </c>
      <c r="AM25" s="88">
        <f t="shared" si="706"/>
        <v>0</v>
      </c>
      <c r="AN25" s="88">
        <f t="shared" si="706"/>
        <v>0</v>
      </c>
      <c r="AO25" s="88">
        <f t="shared" si="706"/>
        <v>0</v>
      </c>
      <c r="AP25" s="88">
        <f t="shared" si="706"/>
        <v>0</v>
      </c>
      <c r="AQ25" s="88">
        <f t="shared" si="706"/>
        <v>0</v>
      </c>
      <c r="AR25" s="88">
        <f t="shared" si="706"/>
        <v>0</v>
      </c>
      <c r="AS25" s="88">
        <f t="shared" si="706"/>
        <v>0</v>
      </c>
      <c r="AT25" s="88">
        <f t="shared" si="706"/>
        <v>0</v>
      </c>
      <c r="AU25" s="88">
        <f t="shared" si="706"/>
        <v>0</v>
      </c>
      <c r="AV25" s="88">
        <f t="shared" si="706"/>
        <v>0</v>
      </c>
      <c r="AW25" s="88">
        <f t="shared" si="706"/>
        <v>0</v>
      </c>
      <c r="AX25" s="88">
        <f t="shared" si="706"/>
        <v>0</v>
      </c>
      <c r="AY25" s="88">
        <f t="shared" si="706"/>
        <v>0</v>
      </c>
      <c r="AZ25" s="88">
        <f t="shared" si="706"/>
        <v>0</v>
      </c>
      <c r="BA25" s="88">
        <f t="shared" si="706"/>
        <v>0</v>
      </c>
      <c r="BB25" s="88">
        <f t="shared" si="706"/>
        <v>0</v>
      </c>
      <c r="BC25" s="88">
        <f t="shared" si="706"/>
        <v>0</v>
      </c>
      <c r="BD25" s="88">
        <f t="shared" si="706"/>
        <v>0</v>
      </c>
      <c r="BE25" s="88">
        <f t="shared" si="706"/>
        <v>0</v>
      </c>
      <c r="BF25" s="88">
        <f t="shared" si="706"/>
        <v>0</v>
      </c>
      <c r="BG25" s="88">
        <f t="shared" si="706"/>
        <v>0</v>
      </c>
      <c r="BH25" s="88">
        <f t="shared" si="706"/>
        <v>0</v>
      </c>
      <c r="BI25" s="88">
        <f t="shared" si="706"/>
        <v>0</v>
      </c>
      <c r="BJ25" s="88">
        <f t="shared" si="706"/>
        <v>0</v>
      </c>
      <c r="BK25" s="88">
        <f t="shared" si="706"/>
        <v>0</v>
      </c>
      <c r="BL25" s="88">
        <f t="shared" si="706"/>
        <v>0</v>
      </c>
      <c r="BM25" s="88">
        <f t="shared" si="706"/>
        <v>0</v>
      </c>
      <c r="BN25" s="88">
        <f t="shared" si="706"/>
        <v>1203</v>
      </c>
      <c r="BO25" s="88">
        <f t="shared" si="706"/>
        <v>1203</v>
      </c>
      <c r="BP25" s="88">
        <f t="shared" si="706"/>
        <v>1203</v>
      </c>
      <c r="BQ25" s="88">
        <f t="shared" si="706"/>
        <v>1944</v>
      </c>
      <c r="BR25" s="88">
        <f t="shared" si="706"/>
        <v>1944</v>
      </c>
      <c r="BS25" s="88">
        <f t="shared" si="706"/>
        <v>1944</v>
      </c>
      <c r="BT25" s="88">
        <f t="shared" si="706"/>
        <v>2095</v>
      </c>
      <c r="BU25" s="88">
        <f t="shared" si="706"/>
        <v>2095</v>
      </c>
      <c r="BV25" s="88">
        <f t="shared" si="706"/>
        <v>2095</v>
      </c>
      <c r="BW25" s="88">
        <f t="shared" si="706"/>
        <v>2178</v>
      </c>
      <c r="BX25" s="88">
        <f t="shared" si="706"/>
        <v>2178</v>
      </c>
      <c r="BY25" s="88">
        <f t="shared" si="706"/>
        <v>2178</v>
      </c>
      <c r="BZ25" s="88">
        <f t="shared" si="706"/>
        <v>3514</v>
      </c>
      <c r="CA25" s="88">
        <f t="shared" si="706"/>
        <v>3514</v>
      </c>
      <c r="CB25" s="88">
        <f t="shared" si="706"/>
        <v>3514</v>
      </c>
      <c r="CC25" s="88">
        <f t="shared" si="706"/>
        <v>2754</v>
      </c>
      <c r="CD25" s="88">
        <f t="shared" si="706"/>
        <v>2754</v>
      </c>
      <c r="CE25" s="88">
        <f t="shared" ref="CE25:CX25" si="707">SUM(CE23:CE24)</f>
        <v>2754</v>
      </c>
      <c r="CF25" s="88">
        <f t="shared" si="707"/>
        <v>2434</v>
      </c>
      <c r="CG25" s="88">
        <f t="shared" si="707"/>
        <v>2434</v>
      </c>
      <c r="CH25" s="88">
        <f t="shared" si="707"/>
        <v>2434</v>
      </c>
      <c r="CI25" s="88">
        <f t="shared" si="707"/>
        <v>1960</v>
      </c>
      <c r="CJ25" s="88">
        <f t="shared" si="707"/>
        <v>1960</v>
      </c>
      <c r="CK25" s="88">
        <f t="shared" si="707"/>
        <v>1960</v>
      </c>
      <c r="CL25" s="88">
        <f t="shared" si="707"/>
        <v>2386</v>
      </c>
      <c r="CM25" s="88">
        <f t="shared" si="707"/>
        <v>2386</v>
      </c>
      <c r="CN25" s="88">
        <f t="shared" si="707"/>
        <v>2386</v>
      </c>
      <c r="CO25" s="88">
        <f t="shared" si="707"/>
        <v>3028</v>
      </c>
      <c r="CP25" s="88">
        <f t="shared" si="707"/>
        <v>3028</v>
      </c>
      <c r="CQ25" s="88">
        <f t="shared" si="707"/>
        <v>3028</v>
      </c>
      <c r="CR25" s="88">
        <f t="shared" si="707"/>
        <v>2933</v>
      </c>
      <c r="CS25" s="88">
        <f t="shared" si="707"/>
        <v>2933</v>
      </c>
      <c r="CT25" s="88">
        <f t="shared" si="707"/>
        <v>2933</v>
      </c>
      <c r="CU25" s="88">
        <f t="shared" si="707"/>
        <v>3088</v>
      </c>
      <c r="CV25" s="88">
        <f t="shared" si="707"/>
        <v>3088</v>
      </c>
      <c r="CW25" s="88">
        <f t="shared" si="707"/>
        <v>3088</v>
      </c>
      <c r="CX25" s="88">
        <f t="shared" si="707"/>
        <v>2911</v>
      </c>
      <c r="CY25" s="88">
        <f t="shared" ref="CY25:DT25" si="708">SUM(CY23:CY24)</f>
        <v>2911</v>
      </c>
      <c r="CZ25" s="88">
        <f t="shared" si="708"/>
        <v>2911</v>
      </c>
      <c r="DA25" s="88">
        <f t="shared" si="708"/>
        <v>1005</v>
      </c>
      <c r="DB25" s="88">
        <f t="shared" si="708"/>
        <v>1005</v>
      </c>
      <c r="DC25" s="88">
        <f t="shared" si="708"/>
        <v>1005</v>
      </c>
      <c r="DD25" s="88">
        <f t="shared" si="708"/>
        <v>1358</v>
      </c>
      <c r="DE25" s="88">
        <f t="shared" si="708"/>
        <v>1358</v>
      </c>
      <c r="DF25" s="88">
        <f t="shared" si="708"/>
        <v>1358</v>
      </c>
      <c r="DG25" s="88">
        <f t="shared" si="708"/>
        <v>1522</v>
      </c>
      <c r="DH25" s="88">
        <f t="shared" si="708"/>
        <v>1522</v>
      </c>
      <c r="DI25" s="88">
        <f t="shared" si="708"/>
        <v>1522</v>
      </c>
      <c r="DJ25" s="88">
        <f t="shared" si="708"/>
        <v>1512</v>
      </c>
      <c r="DK25" s="88">
        <f t="shared" si="708"/>
        <v>1512</v>
      </c>
      <c r="DL25" s="88">
        <f t="shared" si="708"/>
        <v>1512</v>
      </c>
      <c r="DM25" s="88">
        <f t="shared" si="708"/>
        <v>2801</v>
      </c>
      <c r="DN25" s="88">
        <f t="shared" si="708"/>
        <v>2801</v>
      </c>
      <c r="DO25" s="88">
        <f t="shared" si="708"/>
        <v>2801</v>
      </c>
      <c r="DP25" s="88">
        <f t="shared" si="708"/>
        <v>0</v>
      </c>
      <c r="DQ25" s="88">
        <f t="shared" si="708"/>
        <v>0</v>
      </c>
      <c r="DR25" s="88">
        <f t="shared" si="708"/>
        <v>0</v>
      </c>
      <c r="DS25" s="88">
        <f t="shared" si="708"/>
        <v>1355</v>
      </c>
      <c r="DT25" s="88">
        <f t="shared" si="708"/>
        <v>1355</v>
      </c>
      <c r="DU25" s="88">
        <f t="shared" ref="DU25" si="709">SUM(DU23:DU24)</f>
        <v>1355</v>
      </c>
    </row>
    <row r="26" spans="1:125">
      <c r="B26" s="372" t="s">
        <v>95</v>
      </c>
      <c r="C26" s="124"/>
      <c r="D26" s="124"/>
      <c r="E26" s="124"/>
      <c r="F26" s="124"/>
      <c r="G26" s="124"/>
      <c r="H26" s="124"/>
      <c r="I26" s="124"/>
      <c r="J26" s="124"/>
      <c r="K26" s="124"/>
      <c r="L26" s="124"/>
      <c r="M26" s="124"/>
      <c r="N26" s="124"/>
      <c r="O26" s="124"/>
      <c r="P26" s="124"/>
      <c r="Q26" s="125"/>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v>115</v>
      </c>
      <c r="BO26" s="124">
        <v>115</v>
      </c>
      <c r="BP26" s="124">
        <v>115</v>
      </c>
      <c r="BQ26" s="124">
        <v>109</v>
      </c>
      <c r="BR26" s="124">
        <v>109</v>
      </c>
      <c r="BS26" s="124">
        <v>109</v>
      </c>
      <c r="BT26" s="124">
        <f>BU26</f>
        <v>113</v>
      </c>
      <c r="BU26" s="124">
        <f>BV26</f>
        <v>113</v>
      </c>
      <c r="BV26" s="124">
        <v>113</v>
      </c>
      <c r="BW26" s="124">
        <v>119</v>
      </c>
      <c r="BX26" s="124">
        <v>119</v>
      </c>
      <c r="BY26" s="124">
        <v>119</v>
      </c>
      <c r="BZ26" s="124">
        <f>CB26</f>
        <v>111</v>
      </c>
      <c r="CA26" s="124">
        <f>CB26</f>
        <v>111</v>
      </c>
      <c r="CB26" s="124">
        <v>111</v>
      </c>
      <c r="CC26" s="124">
        <v>120</v>
      </c>
      <c r="CD26" s="124">
        <v>120</v>
      </c>
      <c r="CE26" s="124">
        <v>120</v>
      </c>
      <c r="CF26" s="124">
        <f>CH26</f>
        <v>120</v>
      </c>
      <c r="CG26" s="124">
        <f>CH26</f>
        <v>120</v>
      </c>
      <c r="CH26" s="124">
        <v>120</v>
      </c>
      <c r="CI26" s="124">
        <v>130</v>
      </c>
      <c r="CJ26" s="124">
        <v>130</v>
      </c>
      <c r="CK26" s="124">
        <v>130</v>
      </c>
      <c r="CL26" s="124">
        <v>138</v>
      </c>
      <c r="CM26" s="124">
        <f>CL26</f>
        <v>138</v>
      </c>
      <c r="CN26" s="124">
        <f>CM26</f>
        <v>138</v>
      </c>
      <c r="CO26" s="124">
        <v>140</v>
      </c>
      <c r="CP26" s="124">
        <v>140</v>
      </c>
      <c r="CQ26" s="124">
        <v>140</v>
      </c>
      <c r="CR26" s="124">
        <v>135</v>
      </c>
      <c r="CS26" s="124">
        <v>135</v>
      </c>
      <c r="CT26" s="124">
        <v>135</v>
      </c>
      <c r="CU26" s="124">
        <v>135</v>
      </c>
      <c r="CV26" s="124">
        <v>135</v>
      </c>
      <c r="CW26" s="124">
        <v>135</v>
      </c>
      <c r="CX26" s="124">
        <v>135</v>
      </c>
      <c r="CY26" s="124">
        <v>135</v>
      </c>
      <c r="CZ26" s="124">
        <v>135</v>
      </c>
      <c r="DA26" s="124">
        <v>135</v>
      </c>
      <c r="DB26" s="124">
        <v>135</v>
      </c>
      <c r="DC26" s="124">
        <v>135</v>
      </c>
      <c r="DD26" s="124">
        <v>135</v>
      </c>
      <c r="DE26" s="124">
        <v>135</v>
      </c>
      <c r="DF26" s="124">
        <v>135</v>
      </c>
      <c r="DG26" s="124">
        <v>135</v>
      </c>
      <c r="DH26" s="124">
        <v>135</v>
      </c>
      <c r="DI26" s="124">
        <v>135</v>
      </c>
      <c r="DJ26" s="124">
        <v>135</v>
      </c>
      <c r="DK26" s="124">
        <v>135</v>
      </c>
      <c r="DL26" s="124">
        <v>135</v>
      </c>
      <c r="DM26" s="124">
        <v>135</v>
      </c>
      <c r="DN26" s="124">
        <v>135</v>
      </c>
      <c r="DO26" s="124">
        <v>135</v>
      </c>
      <c r="DP26" s="124">
        <f>1394/3</f>
        <v>464.66666666666669</v>
      </c>
      <c r="DQ26" s="124">
        <f>DP26</f>
        <v>464.66666666666669</v>
      </c>
      <c r="DR26" s="124">
        <f>DQ26</f>
        <v>464.66666666666669</v>
      </c>
      <c r="DS26" s="124">
        <f t="shared" ref="DS26:DU26" si="710">DR26</f>
        <v>464.66666666666669</v>
      </c>
      <c r="DT26" s="124">
        <f t="shared" si="710"/>
        <v>464.66666666666669</v>
      </c>
      <c r="DU26" s="124">
        <f t="shared" si="710"/>
        <v>464.66666666666669</v>
      </c>
    </row>
    <row r="27" spans="1:125">
      <c r="B27" s="87" t="s">
        <v>200</v>
      </c>
      <c r="C27" s="89">
        <f t="shared" ref="C27:R27" si="711">C20+C21+C23+C24+C26</f>
        <v>0</v>
      </c>
      <c r="D27" s="89">
        <f t="shared" si="711"/>
        <v>0</v>
      </c>
      <c r="E27" s="89">
        <f t="shared" si="711"/>
        <v>0</v>
      </c>
      <c r="F27" s="89">
        <f t="shared" si="711"/>
        <v>0</v>
      </c>
      <c r="G27" s="89">
        <f t="shared" si="711"/>
        <v>0</v>
      </c>
      <c r="H27" s="89">
        <f t="shared" si="711"/>
        <v>0</v>
      </c>
      <c r="I27" s="89">
        <f t="shared" si="711"/>
        <v>0</v>
      </c>
      <c r="J27" s="89">
        <f t="shared" si="711"/>
        <v>0</v>
      </c>
      <c r="K27" s="89">
        <f t="shared" si="711"/>
        <v>0</v>
      </c>
      <c r="L27" s="89">
        <f t="shared" si="711"/>
        <v>0</v>
      </c>
      <c r="M27" s="89">
        <f t="shared" si="711"/>
        <v>0</v>
      </c>
      <c r="N27" s="89">
        <f t="shared" si="711"/>
        <v>0</v>
      </c>
      <c r="O27" s="89">
        <f t="shared" si="711"/>
        <v>0</v>
      </c>
      <c r="P27" s="89">
        <f t="shared" si="711"/>
        <v>0</v>
      </c>
      <c r="Q27" s="89">
        <f t="shared" si="711"/>
        <v>0</v>
      </c>
      <c r="R27" s="89">
        <f t="shared" si="711"/>
        <v>0</v>
      </c>
      <c r="S27" s="89">
        <f t="shared" ref="S27:CD27" si="712">S20+S21+S23+S24+S26</f>
        <v>0</v>
      </c>
      <c r="T27" s="89">
        <f t="shared" si="712"/>
        <v>0</v>
      </c>
      <c r="U27" s="89">
        <f t="shared" si="712"/>
        <v>0</v>
      </c>
      <c r="V27" s="89">
        <f t="shared" si="712"/>
        <v>0</v>
      </c>
      <c r="W27" s="89">
        <f t="shared" si="712"/>
        <v>0</v>
      </c>
      <c r="X27" s="89">
        <f t="shared" si="712"/>
        <v>0</v>
      </c>
      <c r="Y27" s="89">
        <f t="shared" si="712"/>
        <v>0</v>
      </c>
      <c r="Z27" s="89">
        <f t="shared" si="712"/>
        <v>0</v>
      </c>
      <c r="AA27" s="89">
        <f t="shared" si="712"/>
        <v>0</v>
      </c>
      <c r="AB27" s="89">
        <f t="shared" si="712"/>
        <v>0</v>
      </c>
      <c r="AC27" s="89">
        <f t="shared" si="712"/>
        <v>0</v>
      </c>
      <c r="AD27" s="89">
        <f t="shared" si="712"/>
        <v>0</v>
      </c>
      <c r="AE27" s="89">
        <f t="shared" si="712"/>
        <v>0</v>
      </c>
      <c r="AF27" s="89">
        <f t="shared" si="712"/>
        <v>0</v>
      </c>
      <c r="AG27" s="89">
        <f t="shared" si="712"/>
        <v>0</v>
      </c>
      <c r="AH27" s="89">
        <f t="shared" si="712"/>
        <v>0</v>
      </c>
      <c r="AI27" s="89">
        <f t="shared" si="712"/>
        <v>0</v>
      </c>
      <c r="AJ27" s="89">
        <f t="shared" si="712"/>
        <v>0</v>
      </c>
      <c r="AK27" s="89">
        <f t="shared" si="712"/>
        <v>0</v>
      </c>
      <c r="AL27" s="89">
        <f t="shared" si="712"/>
        <v>0</v>
      </c>
      <c r="AM27" s="89">
        <f t="shared" si="712"/>
        <v>0</v>
      </c>
      <c r="AN27" s="89">
        <f t="shared" si="712"/>
        <v>0</v>
      </c>
      <c r="AO27" s="89">
        <f t="shared" si="712"/>
        <v>0</v>
      </c>
      <c r="AP27" s="89">
        <f t="shared" si="712"/>
        <v>0</v>
      </c>
      <c r="AQ27" s="89">
        <f t="shared" si="712"/>
        <v>0</v>
      </c>
      <c r="AR27" s="89">
        <f t="shared" si="712"/>
        <v>0</v>
      </c>
      <c r="AS27" s="89">
        <f t="shared" si="712"/>
        <v>0</v>
      </c>
      <c r="AT27" s="89">
        <f t="shared" si="712"/>
        <v>0</v>
      </c>
      <c r="AU27" s="89">
        <f t="shared" si="712"/>
        <v>0</v>
      </c>
      <c r="AV27" s="89">
        <f t="shared" si="712"/>
        <v>0</v>
      </c>
      <c r="AW27" s="89">
        <f t="shared" si="712"/>
        <v>0</v>
      </c>
      <c r="AX27" s="89">
        <f t="shared" si="712"/>
        <v>0</v>
      </c>
      <c r="AY27" s="89">
        <f t="shared" si="712"/>
        <v>0</v>
      </c>
      <c r="AZ27" s="89">
        <f t="shared" si="712"/>
        <v>0</v>
      </c>
      <c r="BA27" s="89">
        <f t="shared" si="712"/>
        <v>0</v>
      </c>
      <c r="BB27" s="89">
        <f t="shared" si="712"/>
        <v>0</v>
      </c>
      <c r="BC27" s="89">
        <f t="shared" si="712"/>
        <v>0</v>
      </c>
      <c r="BD27" s="89">
        <f t="shared" si="712"/>
        <v>0</v>
      </c>
      <c r="BE27" s="89">
        <f t="shared" si="712"/>
        <v>0</v>
      </c>
      <c r="BF27" s="89">
        <f t="shared" si="712"/>
        <v>0</v>
      </c>
      <c r="BG27" s="89">
        <f t="shared" si="712"/>
        <v>0</v>
      </c>
      <c r="BH27" s="89">
        <f t="shared" si="712"/>
        <v>0</v>
      </c>
      <c r="BI27" s="89">
        <f t="shared" si="712"/>
        <v>0</v>
      </c>
      <c r="BJ27" s="89">
        <f t="shared" si="712"/>
        <v>0</v>
      </c>
      <c r="BK27" s="89">
        <f t="shared" si="712"/>
        <v>0</v>
      </c>
      <c r="BL27" s="89">
        <f t="shared" si="712"/>
        <v>0</v>
      </c>
      <c r="BM27" s="89">
        <f t="shared" si="712"/>
        <v>0</v>
      </c>
      <c r="BN27" s="89">
        <f t="shared" si="712"/>
        <v>4748</v>
      </c>
      <c r="BO27" s="89">
        <f t="shared" si="712"/>
        <v>4748</v>
      </c>
      <c r="BP27" s="89">
        <f t="shared" si="712"/>
        <v>4748</v>
      </c>
      <c r="BQ27" s="89">
        <f t="shared" si="712"/>
        <v>4870</v>
      </c>
      <c r="BR27" s="89">
        <f t="shared" si="712"/>
        <v>4870</v>
      </c>
      <c r="BS27" s="89">
        <f t="shared" si="712"/>
        <v>4870</v>
      </c>
      <c r="BT27" s="89">
        <f t="shared" si="712"/>
        <v>3709</v>
      </c>
      <c r="BU27" s="89">
        <f t="shared" si="712"/>
        <v>3709</v>
      </c>
      <c r="BV27" s="89">
        <f t="shared" si="712"/>
        <v>3709</v>
      </c>
      <c r="BW27" s="89">
        <f t="shared" si="712"/>
        <v>4438</v>
      </c>
      <c r="BX27" s="89">
        <f t="shared" si="712"/>
        <v>4438</v>
      </c>
      <c r="BY27" s="89">
        <f t="shared" si="712"/>
        <v>4438</v>
      </c>
      <c r="BZ27" s="89">
        <f t="shared" si="712"/>
        <v>4812</v>
      </c>
      <c r="CA27" s="89">
        <f t="shared" si="712"/>
        <v>4812</v>
      </c>
      <c r="CB27" s="89">
        <f t="shared" si="712"/>
        <v>4812</v>
      </c>
      <c r="CC27" s="89">
        <f t="shared" si="712"/>
        <v>4110</v>
      </c>
      <c r="CD27" s="89">
        <f t="shared" si="712"/>
        <v>4110</v>
      </c>
      <c r="CE27" s="89">
        <f t="shared" ref="CE27:CX27" si="713">CE20+CE21+CE23+CE24+CE26</f>
        <v>4110</v>
      </c>
      <c r="CF27" s="89">
        <f t="shared" si="713"/>
        <v>3308</v>
      </c>
      <c r="CG27" s="89">
        <f t="shared" si="713"/>
        <v>3308</v>
      </c>
      <c r="CH27" s="89">
        <f t="shared" si="713"/>
        <v>3308</v>
      </c>
      <c r="CI27" s="89">
        <f t="shared" si="713"/>
        <v>2814</v>
      </c>
      <c r="CJ27" s="89">
        <f t="shared" si="713"/>
        <v>2814</v>
      </c>
      <c r="CK27" s="89">
        <f t="shared" si="713"/>
        <v>2814</v>
      </c>
      <c r="CL27" s="89">
        <f t="shared" si="713"/>
        <v>4151</v>
      </c>
      <c r="CM27" s="89">
        <f t="shared" si="713"/>
        <v>4151</v>
      </c>
      <c r="CN27" s="89">
        <f t="shared" si="713"/>
        <v>4151</v>
      </c>
      <c r="CO27" s="89">
        <f t="shared" si="713"/>
        <v>4480</v>
      </c>
      <c r="CP27" s="89">
        <f t="shared" si="713"/>
        <v>4480</v>
      </c>
      <c r="CQ27" s="89">
        <f t="shared" si="713"/>
        <v>4480</v>
      </c>
      <c r="CR27" s="89">
        <f t="shared" si="713"/>
        <v>4488</v>
      </c>
      <c r="CS27" s="89">
        <f t="shared" si="713"/>
        <v>4488</v>
      </c>
      <c r="CT27" s="89">
        <f t="shared" si="713"/>
        <v>4488</v>
      </c>
      <c r="CU27" s="89">
        <f t="shared" si="713"/>
        <v>3223</v>
      </c>
      <c r="CV27" s="89">
        <f t="shared" si="713"/>
        <v>3223</v>
      </c>
      <c r="CW27" s="89">
        <f t="shared" si="713"/>
        <v>3223</v>
      </c>
      <c r="CX27" s="89">
        <f t="shared" si="713"/>
        <v>3046</v>
      </c>
      <c r="CY27" s="89">
        <f t="shared" ref="CY27:DT27" si="714">CY20+CY21+CY23+CY24+CY26</f>
        <v>3046</v>
      </c>
      <c r="CZ27" s="89">
        <f t="shared" si="714"/>
        <v>3046</v>
      </c>
      <c r="DA27" s="89">
        <f t="shared" si="714"/>
        <v>1140</v>
      </c>
      <c r="DB27" s="89">
        <f t="shared" si="714"/>
        <v>1140</v>
      </c>
      <c r="DC27" s="89">
        <f t="shared" si="714"/>
        <v>1140</v>
      </c>
      <c r="DD27" s="89">
        <f t="shared" si="714"/>
        <v>1493</v>
      </c>
      <c r="DE27" s="89">
        <f t="shared" si="714"/>
        <v>1493</v>
      </c>
      <c r="DF27" s="89">
        <f t="shared" si="714"/>
        <v>1493</v>
      </c>
      <c r="DG27" s="89">
        <f t="shared" si="714"/>
        <v>1657</v>
      </c>
      <c r="DH27" s="89">
        <f t="shared" si="714"/>
        <v>1657</v>
      </c>
      <c r="DI27" s="89">
        <f t="shared" si="714"/>
        <v>1657</v>
      </c>
      <c r="DJ27" s="89">
        <f t="shared" si="714"/>
        <v>1647</v>
      </c>
      <c r="DK27" s="89">
        <f t="shared" si="714"/>
        <v>1647</v>
      </c>
      <c r="DL27" s="89">
        <f t="shared" si="714"/>
        <v>1647</v>
      </c>
      <c r="DM27" s="89">
        <f t="shared" si="714"/>
        <v>2936</v>
      </c>
      <c r="DN27" s="89">
        <f t="shared" si="714"/>
        <v>2936</v>
      </c>
      <c r="DO27" s="89">
        <f t="shared" si="714"/>
        <v>2936</v>
      </c>
      <c r="DP27" s="89">
        <f t="shared" si="714"/>
        <v>464.66666666666669</v>
      </c>
      <c r="DQ27" s="89">
        <f t="shared" si="714"/>
        <v>464.66666666666669</v>
      </c>
      <c r="DR27" s="89">
        <f t="shared" si="714"/>
        <v>464.66666666666669</v>
      </c>
      <c r="DS27" s="89">
        <f t="shared" si="714"/>
        <v>1819.6666666666667</v>
      </c>
      <c r="DT27" s="89">
        <f t="shared" si="714"/>
        <v>1819.6666666666667</v>
      </c>
      <c r="DU27" s="89">
        <f t="shared" ref="DU27" si="715">DU20+DU21+DU23+DU24+DU26</f>
        <v>1819.6666666666667</v>
      </c>
    </row>
    <row r="28" spans="1:125">
      <c r="B28" s="87" t="s">
        <v>201</v>
      </c>
      <c r="C28" s="89">
        <f t="shared" ref="C28:R28" si="716">C20+C21+C22+C23+C24+C26</f>
        <v>0</v>
      </c>
      <c r="D28" s="89">
        <f t="shared" si="716"/>
        <v>0</v>
      </c>
      <c r="E28" s="89">
        <f t="shared" si="716"/>
        <v>0</v>
      </c>
      <c r="F28" s="89">
        <f t="shared" si="716"/>
        <v>0</v>
      </c>
      <c r="G28" s="89">
        <f t="shared" si="716"/>
        <v>0</v>
      </c>
      <c r="H28" s="89">
        <f t="shared" si="716"/>
        <v>0</v>
      </c>
      <c r="I28" s="89">
        <f t="shared" si="716"/>
        <v>0</v>
      </c>
      <c r="J28" s="89">
        <f t="shared" si="716"/>
        <v>0</v>
      </c>
      <c r="K28" s="89">
        <f t="shared" si="716"/>
        <v>0</v>
      </c>
      <c r="L28" s="89">
        <f t="shared" si="716"/>
        <v>0</v>
      </c>
      <c r="M28" s="89">
        <f t="shared" si="716"/>
        <v>0</v>
      </c>
      <c r="N28" s="89">
        <f t="shared" si="716"/>
        <v>0</v>
      </c>
      <c r="O28" s="89">
        <f t="shared" si="716"/>
        <v>0</v>
      </c>
      <c r="P28" s="89">
        <f t="shared" si="716"/>
        <v>0</v>
      </c>
      <c r="Q28" s="89">
        <f t="shared" si="716"/>
        <v>0</v>
      </c>
      <c r="R28" s="89">
        <f t="shared" si="716"/>
        <v>0</v>
      </c>
      <c r="S28" s="89">
        <f t="shared" ref="S28:CD28" si="717">S20+S21+S22+S23+S24+S26</f>
        <v>0</v>
      </c>
      <c r="T28" s="89">
        <f t="shared" si="717"/>
        <v>0</v>
      </c>
      <c r="U28" s="89">
        <f t="shared" si="717"/>
        <v>0</v>
      </c>
      <c r="V28" s="89">
        <f t="shared" si="717"/>
        <v>0</v>
      </c>
      <c r="W28" s="89">
        <f t="shared" si="717"/>
        <v>0</v>
      </c>
      <c r="X28" s="89">
        <f t="shared" si="717"/>
        <v>0</v>
      </c>
      <c r="Y28" s="89">
        <f t="shared" si="717"/>
        <v>0</v>
      </c>
      <c r="Z28" s="89">
        <f t="shared" si="717"/>
        <v>0</v>
      </c>
      <c r="AA28" s="89">
        <f t="shared" si="717"/>
        <v>0</v>
      </c>
      <c r="AB28" s="89">
        <f t="shared" si="717"/>
        <v>0</v>
      </c>
      <c r="AC28" s="89">
        <f t="shared" si="717"/>
        <v>0</v>
      </c>
      <c r="AD28" s="89">
        <f t="shared" si="717"/>
        <v>0</v>
      </c>
      <c r="AE28" s="89">
        <f t="shared" si="717"/>
        <v>0</v>
      </c>
      <c r="AF28" s="89">
        <f t="shared" si="717"/>
        <v>0</v>
      </c>
      <c r="AG28" s="89">
        <f t="shared" si="717"/>
        <v>0</v>
      </c>
      <c r="AH28" s="89">
        <f t="shared" si="717"/>
        <v>0</v>
      </c>
      <c r="AI28" s="89">
        <f t="shared" si="717"/>
        <v>0</v>
      </c>
      <c r="AJ28" s="89">
        <f t="shared" si="717"/>
        <v>0</v>
      </c>
      <c r="AK28" s="89">
        <f t="shared" si="717"/>
        <v>0</v>
      </c>
      <c r="AL28" s="89">
        <f t="shared" si="717"/>
        <v>0</v>
      </c>
      <c r="AM28" s="89">
        <f t="shared" si="717"/>
        <v>0</v>
      </c>
      <c r="AN28" s="89">
        <f t="shared" si="717"/>
        <v>0</v>
      </c>
      <c r="AO28" s="89">
        <f t="shared" si="717"/>
        <v>0</v>
      </c>
      <c r="AP28" s="89">
        <f t="shared" si="717"/>
        <v>0</v>
      </c>
      <c r="AQ28" s="89">
        <f t="shared" si="717"/>
        <v>0</v>
      </c>
      <c r="AR28" s="89">
        <f t="shared" si="717"/>
        <v>0</v>
      </c>
      <c r="AS28" s="89">
        <f t="shared" si="717"/>
        <v>0</v>
      </c>
      <c r="AT28" s="89">
        <f t="shared" si="717"/>
        <v>0</v>
      </c>
      <c r="AU28" s="89">
        <f t="shared" si="717"/>
        <v>0</v>
      </c>
      <c r="AV28" s="89">
        <f t="shared" si="717"/>
        <v>0</v>
      </c>
      <c r="AW28" s="89">
        <f t="shared" si="717"/>
        <v>0</v>
      </c>
      <c r="AX28" s="89">
        <f t="shared" si="717"/>
        <v>0</v>
      </c>
      <c r="AY28" s="89">
        <f t="shared" si="717"/>
        <v>0</v>
      </c>
      <c r="AZ28" s="89">
        <f t="shared" si="717"/>
        <v>0</v>
      </c>
      <c r="BA28" s="89">
        <f t="shared" si="717"/>
        <v>0</v>
      </c>
      <c r="BB28" s="89">
        <f t="shared" si="717"/>
        <v>0</v>
      </c>
      <c r="BC28" s="89">
        <f t="shared" si="717"/>
        <v>0</v>
      </c>
      <c r="BD28" s="89">
        <f t="shared" si="717"/>
        <v>0</v>
      </c>
      <c r="BE28" s="89">
        <f t="shared" si="717"/>
        <v>0</v>
      </c>
      <c r="BF28" s="89">
        <f t="shared" si="717"/>
        <v>0</v>
      </c>
      <c r="BG28" s="89">
        <f t="shared" si="717"/>
        <v>0</v>
      </c>
      <c r="BH28" s="89">
        <f t="shared" si="717"/>
        <v>0</v>
      </c>
      <c r="BI28" s="89">
        <f t="shared" si="717"/>
        <v>0</v>
      </c>
      <c r="BJ28" s="89">
        <f t="shared" si="717"/>
        <v>0</v>
      </c>
      <c r="BK28" s="89">
        <f t="shared" si="717"/>
        <v>0</v>
      </c>
      <c r="BL28" s="89">
        <f t="shared" si="717"/>
        <v>0</v>
      </c>
      <c r="BM28" s="89">
        <f t="shared" si="717"/>
        <v>0</v>
      </c>
      <c r="BN28" s="89">
        <f t="shared" si="717"/>
        <v>4748</v>
      </c>
      <c r="BO28" s="89">
        <f t="shared" si="717"/>
        <v>4748</v>
      </c>
      <c r="BP28" s="89">
        <f t="shared" si="717"/>
        <v>4748</v>
      </c>
      <c r="BQ28" s="89">
        <f t="shared" si="717"/>
        <v>7960</v>
      </c>
      <c r="BR28" s="89">
        <f t="shared" si="717"/>
        <v>7960</v>
      </c>
      <c r="BS28" s="89">
        <f t="shared" si="717"/>
        <v>7960</v>
      </c>
      <c r="BT28" s="89">
        <f t="shared" si="717"/>
        <v>5764</v>
      </c>
      <c r="BU28" s="89">
        <f t="shared" si="717"/>
        <v>5764</v>
      </c>
      <c r="BV28" s="89">
        <f t="shared" si="717"/>
        <v>5764</v>
      </c>
      <c r="BW28" s="89">
        <f t="shared" si="717"/>
        <v>6687</v>
      </c>
      <c r="BX28" s="89">
        <f t="shared" si="717"/>
        <v>6687</v>
      </c>
      <c r="BY28" s="89">
        <f t="shared" si="717"/>
        <v>6687</v>
      </c>
      <c r="BZ28" s="89">
        <f t="shared" si="717"/>
        <v>6078</v>
      </c>
      <c r="CA28" s="89">
        <f t="shared" si="717"/>
        <v>6078</v>
      </c>
      <c r="CB28" s="89">
        <f t="shared" si="717"/>
        <v>6078</v>
      </c>
      <c r="CC28" s="89">
        <f t="shared" si="717"/>
        <v>5365</v>
      </c>
      <c r="CD28" s="89">
        <f t="shared" si="717"/>
        <v>5365</v>
      </c>
      <c r="CE28" s="89">
        <f t="shared" ref="CE28:CX28" si="718">CE20+CE21+CE22+CE23+CE24+CE26</f>
        <v>5365</v>
      </c>
      <c r="CF28" s="89">
        <f t="shared" si="718"/>
        <v>4010</v>
      </c>
      <c r="CG28" s="89">
        <f t="shared" si="718"/>
        <v>4010</v>
      </c>
      <c r="CH28" s="89">
        <f t="shared" si="718"/>
        <v>4010</v>
      </c>
      <c r="CI28" s="89">
        <f t="shared" si="718"/>
        <v>4369</v>
      </c>
      <c r="CJ28" s="89">
        <f t="shared" si="718"/>
        <v>4369</v>
      </c>
      <c r="CK28" s="89">
        <f t="shared" si="718"/>
        <v>4369</v>
      </c>
      <c r="CL28" s="89">
        <f t="shared" si="718"/>
        <v>5789</v>
      </c>
      <c r="CM28" s="89">
        <f t="shared" si="718"/>
        <v>5789</v>
      </c>
      <c r="CN28" s="89">
        <f t="shared" si="718"/>
        <v>5789</v>
      </c>
      <c r="CO28" s="89">
        <f t="shared" si="718"/>
        <v>5857</v>
      </c>
      <c r="CP28" s="89">
        <f t="shared" si="718"/>
        <v>5857</v>
      </c>
      <c r="CQ28" s="89">
        <f t="shared" si="718"/>
        <v>5857</v>
      </c>
      <c r="CR28" s="89">
        <f t="shared" si="718"/>
        <v>5078</v>
      </c>
      <c r="CS28" s="89">
        <f t="shared" si="718"/>
        <v>5078</v>
      </c>
      <c r="CT28" s="89">
        <f t="shared" si="718"/>
        <v>5078</v>
      </c>
      <c r="CU28" s="89">
        <f t="shared" si="718"/>
        <v>4558</v>
      </c>
      <c r="CV28" s="89">
        <f t="shared" si="718"/>
        <v>4558</v>
      </c>
      <c r="CW28" s="89">
        <f t="shared" si="718"/>
        <v>4558</v>
      </c>
      <c r="CX28" s="89">
        <f t="shared" si="718"/>
        <v>4439</v>
      </c>
      <c r="CY28" s="89">
        <f t="shared" ref="CY28:DT28" si="719">CY20+CY21+CY22+CY23+CY24+CY26</f>
        <v>4439</v>
      </c>
      <c r="CZ28" s="89">
        <f t="shared" si="719"/>
        <v>4439</v>
      </c>
      <c r="DA28" s="89">
        <f t="shared" si="719"/>
        <v>2324.0500000000002</v>
      </c>
      <c r="DB28" s="89">
        <f t="shared" si="719"/>
        <v>2324.0500000000002</v>
      </c>
      <c r="DC28" s="89">
        <f t="shared" si="719"/>
        <v>2324.0500000000002</v>
      </c>
      <c r="DD28" s="89">
        <f t="shared" si="719"/>
        <v>2092</v>
      </c>
      <c r="DE28" s="89">
        <f t="shared" si="719"/>
        <v>2092</v>
      </c>
      <c r="DF28" s="89">
        <f t="shared" si="719"/>
        <v>2092</v>
      </c>
      <c r="DG28" s="89">
        <f t="shared" si="719"/>
        <v>2697</v>
      </c>
      <c r="DH28" s="89">
        <f t="shared" si="719"/>
        <v>2697</v>
      </c>
      <c r="DI28" s="89">
        <f t="shared" si="719"/>
        <v>2697</v>
      </c>
      <c r="DJ28" s="89">
        <f t="shared" si="719"/>
        <v>2455</v>
      </c>
      <c r="DK28" s="89">
        <f t="shared" si="719"/>
        <v>2455</v>
      </c>
      <c r="DL28" s="89">
        <f t="shared" si="719"/>
        <v>2455</v>
      </c>
      <c r="DM28" s="89">
        <f t="shared" si="719"/>
        <v>3831</v>
      </c>
      <c r="DN28" s="89">
        <f t="shared" si="719"/>
        <v>3831</v>
      </c>
      <c r="DO28" s="89">
        <f t="shared" si="719"/>
        <v>3831</v>
      </c>
      <c r="DP28" s="89">
        <f t="shared" si="719"/>
        <v>929.33333333333337</v>
      </c>
      <c r="DQ28" s="89">
        <f t="shared" si="719"/>
        <v>929.66666666666674</v>
      </c>
      <c r="DR28" s="89">
        <f t="shared" si="719"/>
        <v>929.66666666666674</v>
      </c>
      <c r="DS28" s="89">
        <f t="shared" si="719"/>
        <v>3518.6666666666665</v>
      </c>
      <c r="DT28" s="89">
        <f t="shared" si="719"/>
        <v>3518.6666666666665</v>
      </c>
      <c r="DU28" s="89">
        <f t="shared" ref="DU28" si="720">DU20+DU21+DU22+DU23+DU24+DU26</f>
        <v>3518.6666666666665</v>
      </c>
    </row>
    <row r="29" spans="1:125">
      <c r="B29" s="130"/>
      <c r="C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c r="BI29" s="130"/>
      <c r="BJ29" s="130"/>
      <c r="BK29" s="130"/>
      <c r="BL29" s="130"/>
      <c r="BM29" s="130"/>
      <c r="BN29" s="130"/>
      <c r="BO29" s="130"/>
      <c r="BP29" s="130"/>
      <c r="BQ29" s="130"/>
      <c r="BR29" s="130"/>
      <c r="BS29" s="130"/>
      <c r="BT29" s="130"/>
      <c r="BU29" s="130"/>
      <c r="BV29" s="130"/>
      <c r="BW29" s="130"/>
      <c r="BX29" s="130"/>
      <c r="BY29" s="130"/>
      <c r="BZ29" s="130"/>
      <c r="CA29" s="130"/>
      <c r="CB29" s="130"/>
      <c r="CC29" s="130"/>
      <c r="CD29" s="130"/>
      <c r="CE29" s="130"/>
      <c r="CF29" s="130"/>
      <c r="CG29" s="130"/>
      <c r="CH29" s="130"/>
      <c r="CI29" s="130"/>
      <c r="CJ29" s="130"/>
      <c r="CK29" s="130"/>
      <c r="CL29" s="130"/>
      <c r="CM29" s="130"/>
      <c r="CN29" s="130"/>
      <c r="CO29" s="130"/>
      <c r="CP29" s="130"/>
      <c r="CQ29" s="130"/>
      <c r="CR29" s="130"/>
      <c r="CS29" s="130"/>
      <c r="CT29" s="130"/>
      <c r="CU29" s="130"/>
      <c r="CV29" s="130"/>
      <c r="CW29" s="130"/>
      <c r="CX29" s="130"/>
      <c r="CY29" s="130"/>
      <c r="CZ29" s="130"/>
      <c r="DA29" s="130"/>
      <c r="DB29" s="130"/>
      <c r="DC29" s="130"/>
      <c r="DD29" s="130"/>
      <c r="DE29" s="130"/>
      <c r="DF29" s="130"/>
      <c r="DG29" s="130"/>
      <c r="DH29" s="130"/>
      <c r="DI29" s="130"/>
      <c r="DJ29" s="130"/>
      <c r="DK29" s="130"/>
      <c r="DL29" s="130"/>
      <c r="DM29" s="130"/>
      <c r="DN29" s="130"/>
      <c r="DO29" s="130"/>
      <c r="DP29" s="130"/>
      <c r="DQ29" s="130"/>
      <c r="DR29" s="130"/>
      <c r="DS29" s="130"/>
      <c r="DT29" s="130"/>
      <c r="DU29" s="130"/>
    </row>
    <row r="30" spans="1:125">
      <c r="B30" s="247" t="s">
        <v>202</v>
      </c>
      <c r="C30" s="248">
        <f>$C$3</f>
        <v>42400</v>
      </c>
      <c r="D30" s="248">
        <f>EOMONTH(C30,1)</f>
        <v>42429</v>
      </c>
      <c r="E30" s="248">
        <f t="shared" ref="E30:M30" si="721">EOMONTH(D30,1)</f>
        <v>42460</v>
      </c>
      <c r="F30" s="248">
        <f t="shared" si="721"/>
        <v>42490</v>
      </c>
      <c r="G30" s="248">
        <f t="shared" si="721"/>
        <v>42521</v>
      </c>
      <c r="H30" s="248">
        <f t="shared" si="721"/>
        <v>42551</v>
      </c>
      <c r="I30" s="248">
        <f t="shared" si="721"/>
        <v>42582</v>
      </c>
      <c r="J30" s="248">
        <f t="shared" si="721"/>
        <v>42613</v>
      </c>
      <c r="K30" s="248">
        <f t="shared" si="721"/>
        <v>42643</v>
      </c>
      <c r="L30" s="248">
        <f t="shared" si="721"/>
        <v>42674</v>
      </c>
      <c r="M30" s="248">
        <f t="shared" si="721"/>
        <v>42704</v>
      </c>
      <c r="N30" s="248">
        <v>42735</v>
      </c>
      <c r="O30" s="248">
        <f>EOMONTH(N30,1)</f>
        <v>42766</v>
      </c>
      <c r="P30" s="248">
        <f t="shared" ref="P30:AE30" si="722">EOMONTH(O30,1)</f>
        <v>42794</v>
      </c>
      <c r="Q30" s="248">
        <f t="shared" si="722"/>
        <v>42825</v>
      </c>
      <c r="R30" s="248">
        <f t="shared" si="722"/>
        <v>42855</v>
      </c>
      <c r="S30" s="248">
        <f t="shared" si="722"/>
        <v>42886</v>
      </c>
      <c r="T30" s="248">
        <f t="shared" si="722"/>
        <v>42916</v>
      </c>
      <c r="U30" s="248">
        <f t="shared" si="722"/>
        <v>42947</v>
      </c>
      <c r="V30" s="248">
        <f t="shared" si="722"/>
        <v>42978</v>
      </c>
      <c r="W30" s="248">
        <f t="shared" si="722"/>
        <v>43008</v>
      </c>
      <c r="X30" s="248">
        <f t="shared" si="722"/>
        <v>43039</v>
      </c>
      <c r="Y30" s="248">
        <f t="shared" si="722"/>
        <v>43069</v>
      </c>
      <c r="Z30" s="248">
        <f t="shared" si="722"/>
        <v>43100</v>
      </c>
      <c r="AA30" s="248">
        <f t="shared" si="722"/>
        <v>43131</v>
      </c>
      <c r="AB30" s="248">
        <f t="shared" si="722"/>
        <v>43159</v>
      </c>
      <c r="AC30" s="248">
        <f t="shared" si="722"/>
        <v>43190</v>
      </c>
      <c r="AD30" s="248">
        <f t="shared" si="722"/>
        <v>43220</v>
      </c>
      <c r="AE30" s="248">
        <f t="shared" si="722"/>
        <v>43251</v>
      </c>
      <c r="AF30" s="248">
        <f t="shared" ref="AF30" si="723">EOMONTH(AE30,1)</f>
        <v>43281</v>
      </c>
      <c r="AG30" s="248">
        <f t="shared" ref="AG30" si="724">EOMONTH(AF30,1)</f>
        <v>43312</v>
      </c>
      <c r="AH30" s="248">
        <f t="shared" ref="AH30" si="725">EOMONTH(AG30,1)</f>
        <v>43343</v>
      </c>
      <c r="AI30" s="248">
        <f t="shared" ref="AI30" si="726">EOMONTH(AH30,1)</f>
        <v>43373</v>
      </c>
      <c r="AJ30" s="248">
        <f t="shared" ref="AJ30" si="727">EOMONTH(AI30,1)</f>
        <v>43404</v>
      </c>
      <c r="AK30" s="248">
        <f t="shared" ref="AK30" si="728">EOMONTH(AJ30,1)</f>
        <v>43434</v>
      </c>
      <c r="AL30" s="248">
        <f t="shared" ref="AL30" si="729">EOMONTH(AK30,1)</f>
        <v>43465</v>
      </c>
      <c r="AM30" s="248">
        <f t="shared" ref="AM30" si="730">EOMONTH(AL30,1)</f>
        <v>43496</v>
      </c>
      <c r="AN30" s="248">
        <f t="shared" ref="AN30" si="731">EOMONTH(AM30,1)</f>
        <v>43524</v>
      </c>
      <c r="AO30" s="248">
        <f t="shared" ref="AO30" si="732">EOMONTH(AN30,1)</f>
        <v>43555</v>
      </c>
      <c r="AP30" s="248">
        <f t="shared" ref="AP30" si="733">EOMONTH(AO30,1)</f>
        <v>43585</v>
      </c>
      <c r="AQ30" s="248">
        <f t="shared" ref="AQ30" si="734">EOMONTH(AP30,1)</f>
        <v>43616</v>
      </c>
      <c r="AR30" s="248">
        <f t="shared" ref="AR30" si="735">EOMONTH(AQ30,1)</f>
        <v>43646</v>
      </c>
      <c r="AS30" s="248">
        <f t="shared" ref="AS30" si="736">EOMONTH(AR30,1)</f>
        <v>43677</v>
      </c>
      <c r="AT30" s="248">
        <f t="shared" ref="AT30" si="737">EOMONTH(AS30,1)</f>
        <v>43708</v>
      </c>
      <c r="AU30" s="248">
        <f t="shared" ref="AU30" si="738">EOMONTH(AT30,1)</f>
        <v>43738</v>
      </c>
      <c r="AV30" s="248">
        <f t="shared" ref="AV30" si="739">EOMONTH(AU30,1)</f>
        <v>43769</v>
      </c>
      <c r="AW30" s="248">
        <f t="shared" ref="AW30" si="740">EOMONTH(AV30,1)</f>
        <v>43799</v>
      </c>
      <c r="AX30" s="248">
        <f t="shared" ref="AX30" si="741">EOMONTH(AW30,1)</f>
        <v>43830</v>
      </c>
      <c r="AY30" s="248">
        <f t="shared" ref="AY30" si="742">EOMONTH(AX30,1)</f>
        <v>43861</v>
      </c>
      <c r="AZ30" s="248">
        <f t="shared" ref="AZ30" si="743">EOMONTH(AY30,1)</f>
        <v>43890</v>
      </c>
      <c r="BA30" s="248">
        <f t="shared" ref="BA30" si="744">EOMONTH(AZ30,1)</f>
        <v>43921</v>
      </c>
      <c r="BB30" s="248">
        <f t="shared" ref="BB30" si="745">EOMONTH(BA30,1)</f>
        <v>43951</v>
      </c>
      <c r="BC30" s="248">
        <f t="shared" ref="BC30" si="746">EOMONTH(BB30,1)</f>
        <v>43982</v>
      </c>
      <c r="BD30" s="248">
        <f t="shared" ref="BD30" si="747">EOMONTH(BC30,1)</f>
        <v>44012</v>
      </c>
      <c r="BE30" s="248">
        <f t="shared" ref="BE30" si="748">EOMONTH(BD30,1)</f>
        <v>44043</v>
      </c>
      <c r="BF30" s="248">
        <f t="shared" ref="BF30" si="749">EOMONTH(BE30,1)</f>
        <v>44074</v>
      </c>
      <c r="BG30" s="248">
        <f t="shared" ref="BG30" si="750">EOMONTH(BF30,1)</f>
        <v>44104</v>
      </c>
      <c r="BH30" s="248">
        <f t="shared" ref="BH30" si="751">EOMONTH(BG30,1)</f>
        <v>44135</v>
      </c>
      <c r="BI30" s="248">
        <f t="shared" ref="BI30" si="752">EOMONTH(BH30,1)</f>
        <v>44165</v>
      </c>
      <c r="BJ30" s="248">
        <f t="shared" ref="BJ30" si="753">EOMONTH(BI30,1)</f>
        <v>44196</v>
      </c>
      <c r="BK30" s="248">
        <f t="shared" ref="BK30" si="754">EOMONTH(BJ30,1)</f>
        <v>44227</v>
      </c>
      <c r="BL30" s="248">
        <f t="shared" ref="BL30" si="755">EOMONTH(BK30,1)</f>
        <v>44255</v>
      </c>
      <c r="BM30" s="248">
        <f t="shared" ref="BM30" si="756">EOMONTH(BL30,1)</f>
        <v>44286</v>
      </c>
      <c r="BN30" s="248">
        <f t="shared" ref="BN30" si="757">EOMONTH(BM30,1)</f>
        <v>44316</v>
      </c>
      <c r="BO30" s="248">
        <f t="shared" ref="BO30" si="758">EOMONTH(BN30,1)</f>
        <v>44347</v>
      </c>
      <c r="BP30" s="248">
        <f t="shared" ref="BP30" si="759">EOMONTH(BO30,1)</f>
        <v>44377</v>
      </c>
      <c r="BQ30" s="248">
        <f t="shared" ref="BQ30" si="760">EOMONTH(BP30,1)</f>
        <v>44408</v>
      </c>
      <c r="BR30" s="248">
        <f t="shared" ref="BR30" si="761">EOMONTH(BQ30,1)</f>
        <v>44439</v>
      </c>
      <c r="BS30" s="248">
        <f t="shared" ref="BS30" si="762">EOMONTH(BR30,1)</f>
        <v>44469</v>
      </c>
      <c r="BT30" s="248">
        <f t="shared" ref="BT30" si="763">EOMONTH(BS30,1)</f>
        <v>44500</v>
      </c>
      <c r="BU30" s="248">
        <f>EOMONTH(BT30,1)</f>
        <v>44530</v>
      </c>
      <c r="BV30" s="248">
        <f t="shared" ref="BV30:BW30" si="764">EOMONTH(BU30,1)</f>
        <v>44561</v>
      </c>
      <c r="BW30" s="248">
        <f t="shared" si="764"/>
        <v>44592</v>
      </c>
      <c r="BX30" s="248">
        <f t="shared" ref="BX30:BY30" si="765">EOMONTH(BW30,1)</f>
        <v>44620</v>
      </c>
      <c r="BY30" s="248">
        <f t="shared" si="765"/>
        <v>44651</v>
      </c>
      <c r="BZ30" s="248">
        <f t="shared" ref="BZ30:CA30" si="766">EOMONTH(BY30,1)</f>
        <v>44681</v>
      </c>
      <c r="CA30" s="248">
        <f t="shared" si="766"/>
        <v>44712</v>
      </c>
      <c r="CB30" s="248">
        <f t="shared" ref="CB30:CC30" si="767">EOMONTH(CA30,1)</f>
        <v>44742</v>
      </c>
      <c r="CC30" s="248">
        <f t="shared" si="767"/>
        <v>44773</v>
      </c>
      <c r="CD30" s="248">
        <f t="shared" ref="CD30" si="768">EOMONTH(CC30,1)</f>
        <v>44804</v>
      </c>
      <c r="CE30" s="248">
        <f t="shared" ref="CE30" si="769">EOMONTH(CD30,1)</f>
        <v>44834</v>
      </c>
      <c r="CF30" s="248">
        <f t="shared" ref="CF30" si="770">EOMONTH(CE30,1)</f>
        <v>44865</v>
      </c>
      <c r="CG30" s="248">
        <f t="shared" ref="CG30" si="771">EOMONTH(CF30,1)</f>
        <v>44895</v>
      </c>
      <c r="CH30" s="248">
        <f t="shared" ref="CH30" si="772">EOMONTH(CG30,1)</f>
        <v>44926</v>
      </c>
      <c r="CI30" s="248">
        <f t="shared" ref="CI30" si="773">EOMONTH(CH30,1)</f>
        <v>44957</v>
      </c>
      <c r="CJ30" s="248">
        <f t="shared" ref="CJ30" si="774">EOMONTH(CI30,1)</f>
        <v>44985</v>
      </c>
      <c r="CK30" s="248">
        <f t="shared" ref="CK30" si="775">EOMONTH(CJ30,1)</f>
        <v>45016</v>
      </c>
      <c r="CL30" s="248">
        <f t="shared" ref="CL30" si="776">EOMONTH(CK30,1)</f>
        <v>45046</v>
      </c>
      <c r="CM30" s="248">
        <f t="shared" ref="CM30" si="777">EOMONTH(CL30,1)</f>
        <v>45077</v>
      </c>
      <c r="CN30" s="248">
        <f t="shared" ref="CN30" si="778">EOMONTH(CM30,1)</f>
        <v>45107</v>
      </c>
      <c r="CO30" s="248">
        <f t="shared" ref="CO30" si="779">EOMONTH(CN30,1)</f>
        <v>45138</v>
      </c>
      <c r="CP30" s="248">
        <f t="shared" ref="CP30" si="780">EOMONTH(CO30,1)</f>
        <v>45169</v>
      </c>
      <c r="CQ30" s="248">
        <f t="shared" ref="CQ30" si="781">EOMONTH(CP30,1)</f>
        <v>45199</v>
      </c>
      <c r="CR30" s="248">
        <f t="shared" ref="CR30" si="782">EOMONTH(CQ30,1)</f>
        <v>45230</v>
      </c>
      <c r="CS30" s="248">
        <f t="shared" ref="CS30" si="783">EOMONTH(CR30,1)</f>
        <v>45260</v>
      </c>
      <c r="CT30" s="248">
        <f t="shared" ref="CT30" si="784">EOMONTH(CS30,1)</f>
        <v>45291</v>
      </c>
      <c r="CU30" s="248">
        <f t="shared" ref="CU30" si="785">EOMONTH(CT30,1)</f>
        <v>45322</v>
      </c>
      <c r="CV30" s="248">
        <f t="shared" ref="CV30" si="786">EOMONTH(CU30,1)</f>
        <v>45351</v>
      </c>
      <c r="CW30" s="248">
        <f t="shared" ref="CW30" si="787">EOMONTH(CV30,1)</f>
        <v>45382</v>
      </c>
      <c r="CX30" s="248">
        <f t="shared" ref="CX30" si="788">EOMONTH(CW30,1)</f>
        <v>45412</v>
      </c>
      <c r="CY30" s="248">
        <f t="shared" ref="CY30" si="789">EOMONTH(CX30,1)</f>
        <v>45443</v>
      </c>
      <c r="CZ30" s="248">
        <f t="shared" ref="CZ30" si="790">EOMONTH(CY30,1)</f>
        <v>45473</v>
      </c>
      <c r="DA30" s="248">
        <f t="shared" ref="DA30" si="791">EOMONTH(CZ30,1)</f>
        <v>45504</v>
      </c>
      <c r="DB30" s="248">
        <f t="shared" ref="DB30" si="792">EOMONTH(DA30,1)</f>
        <v>45535</v>
      </c>
      <c r="DC30" s="248">
        <f t="shared" ref="DC30" si="793">EOMONTH(DB30,1)</f>
        <v>45565</v>
      </c>
      <c r="DD30" s="248">
        <f t="shared" ref="DD30" si="794">EOMONTH(DC30,1)</f>
        <v>45596</v>
      </c>
      <c r="DE30" s="248">
        <f t="shared" ref="DE30" si="795">EOMONTH(DD30,1)</f>
        <v>45626</v>
      </c>
      <c r="DF30" s="248">
        <f t="shared" ref="DF30" si="796">EOMONTH(DE30,1)</f>
        <v>45657</v>
      </c>
      <c r="DG30" s="248">
        <f t="shared" ref="DG30" si="797">EOMONTH(DF30,1)</f>
        <v>45688</v>
      </c>
      <c r="DH30" s="248">
        <f t="shared" ref="DH30" si="798">EOMONTH(DG30,1)</f>
        <v>45716</v>
      </c>
      <c r="DI30" s="248">
        <f t="shared" ref="DI30" si="799">EOMONTH(DH30,1)</f>
        <v>45747</v>
      </c>
      <c r="DJ30" s="248">
        <f t="shared" ref="DJ30" si="800">EOMONTH(DI30,1)</f>
        <v>45777</v>
      </c>
      <c r="DK30" s="248">
        <f t="shared" ref="DK30" si="801">EOMONTH(DJ30,1)</f>
        <v>45808</v>
      </c>
      <c r="DL30" s="248">
        <f t="shared" ref="DL30" si="802">EOMONTH(DK30,1)</f>
        <v>45838</v>
      </c>
      <c r="DM30" s="248">
        <f t="shared" ref="DM30" si="803">EOMONTH(DL30,1)</f>
        <v>45869</v>
      </c>
      <c r="DN30" s="248">
        <f t="shared" ref="DN30" si="804">EOMONTH(DM30,1)</f>
        <v>45900</v>
      </c>
      <c r="DO30" s="248">
        <f t="shared" ref="DO30" si="805">EOMONTH(DN30,1)</f>
        <v>45930</v>
      </c>
      <c r="DP30" s="248">
        <f t="shared" ref="DP30" si="806">EOMONTH(DO30,1)</f>
        <v>45961</v>
      </c>
      <c r="DQ30" s="248">
        <f t="shared" ref="DQ30" si="807">EOMONTH(DP30,1)</f>
        <v>45991</v>
      </c>
      <c r="DR30" s="248">
        <f t="shared" ref="DR30" si="808">EOMONTH(DQ30,1)</f>
        <v>46022</v>
      </c>
      <c r="DS30" s="248">
        <f t="shared" ref="DS30" si="809">EOMONTH(DR30,1)</f>
        <v>46053</v>
      </c>
      <c r="DT30" s="248">
        <f t="shared" ref="DT30:DU30" si="810">EOMONTH(DS30,1)</f>
        <v>46081</v>
      </c>
      <c r="DU30" s="248">
        <f t="shared" si="810"/>
        <v>46112</v>
      </c>
    </row>
    <row r="31" spans="1:125">
      <c r="B31" s="87" t="s">
        <v>203</v>
      </c>
      <c r="C31" s="398" t="str">
        <f t="shared" ref="C31:D31" si="811">IF((C20+C21)=0," ",(C20+C21)/C27)</f>
        <v xml:space="preserve"> </v>
      </c>
      <c r="D31" s="398" t="str">
        <f t="shared" si="811"/>
        <v xml:space="preserve"> </v>
      </c>
      <c r="E31" s="398" t="str">
        <f t="shared" ref="E31:BP31" si="812">IF((E20+E21)=0," ",(E20+E21)/E27)</f>
        <v xml:space="preserve"> </v>
      </c>
      <c r="F31" s="398" t="str">
        <f t="shared" si="812"/>
        <v xml:space="preserve"> </v>
      </c>
      <c r="G31" s="398" t="str">
        <f t="shared" si="812"/>
        <v xml:space="preserve"> </v>
      </c>
      <c r="H31" s="398" t="str">
        <f t="shared" si="812"/>
        <v xml:space="preserve"> </v>
      </c>
      <c r="I31" s="398" t="str">
        <f t="shared" si="812"/>
        <v xml:space="preserve"> </v>
      </c>
      <c r="J31" s="398" t="str">
        <f t="shared" si="812"/>
        <v xml:space="preserve"> </v>
      </c>
      <c r="K31" s="398" t="str">
        <f t="shared" si="812"/>
        <v xml:space="preserve"> </v>
      </c>
      <c r="L31" s="398" t="str">
        <f t="shared" si="812"/>
        <v xml:space="preserve"> </v>
      </c>
      <c r="M31" s="398" t="str">
        <f t="shared" si="812"/>
        <v xml:space="preserve"> </v>
      </c>
      <c r="N31" s="398" t="str">
        <f t="shared" si="812"/>
        <v xml:space="preserve"> </v>
      </c>
      <c r="O31" s="398" t="str">
        <f t="shared" si="812"/>
        <v xml:space="preserve"> </v>
      </c>
      <c r="P31" s="398" t="str">
        <f t="shared" si="812"/>
        <v xml:space="preserve"> </v>
      </c>
      <c r="Q31" s="398" t="str">
        <f t="shared" si="812"/>
        <v xml:space="preserve"> </v>
      </c>
      <c r="R31" s="398" t="str">
        <f t="shared" si="812"/>
        <v xml:space="preserve"> </v>
      </c>
      <c r="S31" s="398" t="str">
        <f t="shared" si="812"/>
        <v xml:space="preserve"> </v>
      </c>
      <c r="T31" s="398" t="str">
        <f t="shared" si="812"/>
        <v xml:space="preserve"> </v>
      </c>
      <c r="U31" s="398" t="str">
        <f t="shared" si="812"/>
        <v xml:space="preserve"> </v>
      </c>
      <c r="V31" s="398" t="str">
        <f t="shared" si="812"/>
        <v xml:space="preserve"> </v>
      </c>
      <c r="W31" s="398" t="str">
        <f t="shared" si="812"/>
        <v xml:space="preserve"> </v>
      </c>
      <c r="X31" s="398" t="str">
        <f t="shared" si="812"/>
        <v xml:space="preserve"> </v>
      </c>
      <c r="Y31" s="398" t="str">
        <f t="shared" si="812"/>
        <v xml:space="preserve"> </v>
      </c>
      <c r="Z31" s="398" t="str">
        <f t="shared" si="812"/>
        <v xml:space="preserve"> </v>
      </c>
      <c r="AA31" s="398" t="str">
        <f t="shared" si="812"/>
        <v xml:space="preserve"> </v>
      </c>
      <c r="AB31" s="398" t="str">
        <f t="shared" si="812"/>
        <v xml:space="preserve"> </v>
      </c>
      <c r="AC31" s="398" t="str">
        <f t="shared" si="812"/>
        <v xml:space="preserve"> </v>
      </c>
      <c r="AD31" s="398" t="str">
        <f t="shared" si="812"/>
        <v xml:space="preserve"> </v>
      </c>
      <c r="AE31" s="398" t="str">
        <f t="shared" si="812"/>
        <v xml:space="preserve"> </v>
      </c>
      <c r="AF31" s="398" t="str">
        <f t="shared" si="812"/>
        <v xml:space="preserve"> </v>
      </c>
      <c r="AG31" s="398" t="str">
        <f t="shared" si="812"/>
        <v xml:space="preserve"> </v>
      </c>
      <c r="AH31" s="398" t="str">
        <f t="shared" si="812"/>
        <v xml:space="preserve"> </v>
      </c>
      <c r="AI31" s="398" t="str">
        <f t="shared" si="812"/>
        <v xml:space="preserve"> </v>
      </c>
      <c r="AJ31" s="398" t="str">
        <f t="shared" si="812"/>
        <v xml:space="preserve"> </v>
      </c>
      <c r="AK31" s="398" t="str">
        <f t="shared" si="812"/>
        <v xml:space="preserve"> </v>
      </c>
      <c r="AL31" s="398" t="str">
        <f t="shared" si="812"/>
        <v xml:space="preserve"> </v>
      </c>
      <c r="AM31" s="398" t="str">
        <f t="shared" si="812"/>
        <v xml:space="preserve"> </v>
      </c>
      <c r="AN31" s="398" t="str">
        <f t="shared" si="812"/>
        <v xml:space="preserve"> </v>
      </c>
      <c r="AO31" s="398" t="str">
        <f t="shared" si="812"/>
        <v xml:space="preserve"> </v>
      </c>
      <c r="AP31" s="398" t="str">
        <f t="shared" si="812"/>
        <v xml:space="preserve"> </v>
      </c>
      <c r="AQ31" s="398" t="str">
        <f t="shared" si="812"/>
        <v xml:space="preserve"> </v>
      </c>
      <c r="AR31" s="398" t="str">
        <f t="shared" si="812"/>
        <v xml:space="preserve"> </v>
      </c>
      <c r="AS31" s="398" t="str">
        <f t="shared" si="812"/>
        <v xml:space="preserve"> </v>
      </c>
      <c r="AT31" s="398" t="str">
        <f t="shared" si="812"/>
        <v xml:space="preserve"> </v>
      </c>
      <c r="AU31" s="398" t="str">
        <f t="shared" si="812"/>
        <v xml:space="preserve"> </v>
      </c>
      <c r="AV31" s="398" t="str">
        <f t="shared" si="812"/>
        <v xml:space="preserve"> </v>
      </c>
      <c r="AW31" s="398" t="str">
        <f t="shared" si="812"/>
        <v xml:space="preserve"> </v>
      </c>
      <c r="AX31" s="398" t="str">
        <f t="shared" si="812"/>
        <v xml:space="preserve"> </v>
      </c>
      <c r="AY31" s="398" t="str">
        <f t="shared" si="812"/>
        <v xml:space="preserve"> </v>
      </c>
      <c r="AZ31" s="398" t="str">
        <f t="shared" si="812"/>
        <v xml:space="preserve"> </v>
      </c>
      <c r="BA31" s="398" t="str">
        <f t="shared" si="812"/>
        <v xml:space="preserve"> </v>
      </c>
      <c r="BB31" s="398" t="str">
        <f t="shared" si="812"/>
        <v xml:space="preserve"> </v>
      </c>
      <c r="BC31" s="398" t="str">
        <f t="shared" si="812"/>
        <v xml:space="preserve"> </v>
      </c>
      <c r="BD31" s="398" t="str">
        <f t="shared" si="812"/>
        <v xml:space="preserve"> </v>
      </c>
      <c r="BE31" s="398" t="str">
        <f t="shared" si="812"/>
        <v xml:space="preserve"> </v>
      </c>
      <c r="BF31" s="398" t="str">
        <f t="shared" si="812"/>
        <v xml:space="preserve"> </v>
      </c>
      <c r="BG31" s="398" t="str">
        <f t="shared" si="812"/>
        <v xml:space="preserve"> </v>
      </c>
      <c r="BH31" s="398" t="str">
        <f t="shared" si="812"/>
        <v xml:space="preserve"> </v>
      </c>
      <c r="BI31" s="398" t="str">
        <f t="shared" si="812"/>
        <v xml:space="preserve"> </v>
      </c>
      <c r="BJ31" s="398" t="str">
        <f t="shared" si="812"/>
        <v xml:space="preserve"> </v>
      </c>
      <c r="BK31" s="398" t="str">
        <f t="shared" si="812"/>
        <v xml:space="preserve"> </v>
      </c>
      <c r="BL31" s="398" t="str">
        <f t="shared" si="812"/>
        <v xml:space="preserve"> </v>
      </c>
      <c r="BM31" s="398" t="str">
        <f t="shared" si="812"/>
        <v xml:space="preserve"> </v>
      </c>
      <c r="BN31" s="398">
        <f t="shared" si="812"/>
        <v>0.72240943555181125</v>
      </c>
      <c r="BO31" s="398">
        <f t="shared" si="812"/>
        <v>0.72240943555181125</v>
      </c>
      <c r="BP31" s="398">
        <f t="shared" si="812"/>
        <v>0.72240943555181125</v>
      </c>
      <c r="BQ31" s="398">
        <f t="shared" ref="BQ31:DA31" si="813">IF((BQ20+BQ21)=0," ",(BQ20+BQ21)/BQ27)</f>
        <v>0.57843942505133472</v>
      </c>
      <c r="BR31" s="398">
        <f t="shared" si="813"/>
        <v>0.57843942505133472</v>
      </c>
      <c r="BS31" s="398">
        <f t="shared" si="813"/>
        <v>0.57843942505133472</v>
      </c>
      <c r="BT31" s="398">
        <f t="shared" si="813"/>
        <v>0.40469129145322191</v>
      </c>
      <c r="BU31" s="398">
        <f t="shared" si="813"/>
        <v>0.40469129145322191</v>
      </c>
      <c r="BV31" s="398">
        <f t="shared" si="813"/>
        <v>0.40469129145322191</v>
      </c>
      <c r="BW31" s="398">
        <f t="shared" si="813"/>
        <v>0.48242451554754395</v>
      </c>
      <c r="BX31" s="398">
        <f t="shared" si="813"/>
        <v>0.48242451554754395</v>
      </c>
      <c r="BY31" s="398">
        <f t="shared" si="813"/>
        <v>0.48242451554754395</v>
      </c>
      <c r="BZ31" s="398">
        <f t="shared" si="813"/>
        <v>0.24667497921862011</v>
      </c>
      <c r="CA31" s="398">
        <f t="shared" si="813"/>
        <v>0.24667497921862011</v>
      </c>
      <c r="CB31" s="398">
        <f t="shared" si="813"/>
        <v>0.24667497921862011</v>
      </c>
      <c r="CC31" s="398">
        <f t="shared" si="813"/>
        <v>0.30072992700729928</v>
      </c>
      <c r="CD31" s="398">
        <f t="shared" si="813"/>
        <v>0.30072992700729928</v>
      </c>
      <c r="CE31" s="398">
        <f t="shared" si="813"/>
        <v>0.30072992700729928</v>
      </c>
      <c r="CF31" s="398">
        <f t="shared" si="813"/>
        <v>0.22793228536880289</v>
      </c>
      <c r="CG31" s="398">
        <f t="shared" si="813"/>
        <v>0.22793228536880289</v>
      </c>
      <c r="CH31" s="398">
        <f t="shared" si="813"/>
        <v>0.22793228536880289</v>
      </c>
      <c r="CI31" s="398">
        <f t="shared" si="813"/>
        <v>0.2572850035536603</v>
      </c>
      <c r="CJ31" s="398">
        <f t="shared" si="813"/>
        <v>0.2572850035536603</v>
      </c>
      <c r="CK31" s="398">
        <f t="shared" si="813"/>
        <v>0.2572850035536603</v>
      </c>
      <c r="CL31" s="398">
        <f t="shared" si="813"/>
        <v>0.39195374608528066</v>
      </c>
      <c r="CM31" s="398">
        <f t="shared" si="813"/>
        <v>0.39195374608528066</v>
      </c>
      <c r="CN31" s="398">
        <f t="shared" si="813"/>
        <v>0.39195374608528066</v>
      </c>
      <c r="CO31" s="398">
        <f t="shared" ref="CO31:CT31" si="814">IF((CO20+CO21)=0," ",(CO20+CO21)/CO27)</f>
        <v>0.29285714285714287</v>
      </c>
      <c r="CP31" s="398">
        <f t="shared" si="814"/>
        <v>0.29285714285714287</v>
      </c>
      <c r="CQ31" s="398">
        <f t="shared" si="814"/>
        <v>0.29285714285714287</v>
      </c>
      <c r="CR31" s="398">
        <f t="shared" si="814"/>
        <v>0.31639928698752229</v>
      </c>
      <c r="CS31" s="398">
        <f t="shared" si="814"/>
        <v>0.31639928698752229</v>
      </c>
      <c r="CT31" s="398">
        <f t="shared" si="814"/>
        <v>0.31639928698752229</v>
      </c>
      <c r="CU31" s="398" t="str">
        <f t="shared" si="813"/>
        <v xml:space="preserve"> </v>
      </c>
      <c r="CV31" s="398" t="str">
        <f t="shared" si="813"/>
        <v xml:space="preserve"> </v>
      </c>
      <c r="CW31" s="398" t="str">
        <f t="shared" si="813"/>
        <v xml:space="preserve"> </v>
      </c>
      <c r="CX31" s="398" t="str">
        <f t="shared" si="813"/>
        <v xml:space="preserve"> </v>
      </c>
      <c r="CY31" s="398" t="str">
        <f t="shared" si="813"/>
        <v xml:space="preserve"> </v>
      </c>
      <c r="CZ31" s="398" t="str">
        <f t="shared" si="813"/>
        <v xml:space="preserve"> </v>
      </c>
      <c r="DA31" s="398" t="str">
        <f t="shared" si="813"/>
        <v xml:space="preserve"> </v>
      </c>
      <c r="DB31" s="398" t="str">
        <f t="shared" ref="DB31:DT31" si="815">IF((DB20+DB21)=0," ",(DB20+DB21)/DB27)</f>
        <v xml:space="preserve"> </v>
      </c>
      <c r="DC31" s="398" t="str">
        <f t="shared" si="815"/>
        <v xml:space="preserve"> </v>
      </c>
      <c r="DD31" s="398" t="str">
        <f t="shared" si="815"/>
        <v xml:space="preserve"> </v>
      </c>
      <c r="DE31" s="398" t="str">
        <f t="shared" si="815"/>
        <v xml:space="preserve"> </v>
      </c>
      <c r="DF31" s="398" t="str">
        <f t="shared" si="815"/>
        <v xml:space="preserve"> </v>
      </c>
      <c r="DG31" s="398" t="str">
        <f t="shared" si="815"/>
        <v xml:space="preserve"> </v>
      </c>
      <c r="DH31" s="398" t="str">
        <f t="shared" si="815"/>
        <v xml:space="preserve"> </v>
      </c>
      <c r="DI31" s="398" t="str">
        <f t="shared" si="815"/>
        <v xml:space="preserve"> </v>
      </c>
      <c r="DJ31" s="398" t="str">
        <f t="shared" si="815"/>
        <v xml:space="preserve"> </v>
      </c>
      <c r="DK31" s="398" t="str">
        <f t="shared" si="815"/>
        <v xml:space="preserve"> </v>
      </c>
      <c r="DL31" s="398" t="str">
        <f t="shared" si="815"/>
        <v xml:space="preserve"> </v>
      </c>
      <c r="DM31" s="398" t="str">
        <f t="shared" si="815"/>
        <v xml:space="preserve"> </v>
      </c>
      <c r="DN31" s="398" t="str">
        <f t="shared" si="815"/>
        <v xml:space="preserve"> </v>
      </c>
      <c r="DO31" s="398" t="str">
        <f t="shared" si="815"/>
        <v xml:space="preserve"> </v>
      </c>
      <c r="DP31" s="398" t="str">
        <f t="shared" si="815"/>
        <v xml:space="preserve"> </v>
      </c>
      <c r="DQ31" s="398" t="str">
        <f t="shared" si="815"/>
        <v xml:space="preserve"> </v>
      </c>
      <c r="DR31" s="398" t="str">
        <f t="shared" si="815"/>
        <v xml:space="preserve"> </v>
      </c>
      <c r="DS31" s="398" t="str">
        <f t="shared" si="815"/>
        <v xml:space="preserve"> </v>
      </c>
      <c r="DT31" s="398" t="str">
        <f t="shared" si="815"/>
        <v xml:space="preserve"> </v>
      </c>
      <c r="DU31" s="398" t="str">
        <f t="shared" ref="DU31" si="816">IF((DU20+DU21)=0," ",(DU20+DU21)/DU27)</f>
        <v xml:space="preserve"> </v>
      </c>
    </row>
    <row r="32" spans="1:125">
      <c r="B32" s="87" t="s">
        <v>204</v>
      </c>
      <c r="C32" s="398" t="str">
        <f>IF((C24+C23)=0," ",(C24+C23)/C27)</f>
        <v xml:space="preserve"> </v>
      </c>
      <c r="D32" s="398" t="str">
        <f t="shared" ref="D32" si="817">IF((D24+D23)=0," ",(D24+D23)/D27)</f>
        <v xml:space="preserve"> </v>
      </c>
      <c r="E32" s="398" t="str">
        <f t="shared" ref="E32:BP32" si="818">IF((E24+E23)=0," ",(E24+E23)/E27)</f>
        <v xml:space="preserve"> </v>
      </c>
      <c r="F32" s="398" t="str">
        <f t="shared" si="818"/>
        <v xml:space="preserve"> </v>
      </c>
      <c r="G32" s="398" t="str">
        <f t="shared" si="818"/>
        <v xml:space="preserve"> </v>
      </c>
      <c r="H32" s="398" t="str">
        <f t="shared" si="818"/>
        <v xml:space="preserve"> </v>
      </c>
      <c r="I32" s="398" t="str">
        <f t="shared" si="818"/>
        <v xml:space="preserve"> </v>
      </c>
      <c r="J32" s="398" t="str">
        <f t="shared" si="818"/>
        <v xml:space="preserve"> </v>
      </c>
      <c r="K32" s="398" t="str">
        <f t="shared" si="818"/>
        <v xml:space="preserve"> </v>
      </c>
      <c r="L32" s="398" t="str">
        <f t="shared" si="818"/>
        <v xml:space="preserve"> </v>
      </c>
      <c r="M32" s="398" t="str">
        <f t="shared" si="818"/>
        <v xml:space="preserve"> </v>
      </c>
      <c r="N32" s="398" t="str">
        <f t="shared" si="818"/>
        <v xml:space="preserve"> </v>
      </c>
      <c r="O32" s="398" t="str">
        <f t="shared" si="818"/>
        <v xml:space="preserve"> </v>
      </c>
      <c r="P32" s="398" t="str">
        <f t="shared" si="818"/>
        <v xml:space="preserve"> </v>
      </c>
      <c r="Q32" s="398" t="str">
        <f t="shared" si="818"/>
        <v xml:space="preserve"> </v>
      </c>
      <c r="R32" s="398" t="str">
        <f t="shared" si="818"/>
        <v xml:space="preserve"> </v>
      </c>
      <c r="S32" s="398" t="str">
        <f t="shared" si="818"/>
        <v xml:space="preserve"> </v>
      </c>
      <c r="T32" s="398" t="str">
        <f t="shared" si="818"/>
        <v xml:space="preserve"> </v>
      </c>
      <c r="U32" s="398" t="str">
        <f t="shared" si="818"/>
        <v xml:space="preserve"> </v>
      </c>
      <c r="V32" s="398" t="str">
        <f t="shared" si="818"/>
        <v xml:space="preserve"> </v>
      </c>
      <c r="W32" s="398" t="str">
        <f t="shared" si="818"/>
        <v xml:space="preserve"> </v>
      </c>
      <c r="X32" s="398" t="str">
        <f t="shared" si="818"/>
        <v xml:space="preserve"> </v>
      </c>
      <c r="Y32" s="398" t="str">
        <f t="shared" si="818"/>
        <v xml:space="preserve"> </v>
      </c>
      <c r="Z32" s="398" t="str">
        <f t="shared" si="818"/>
        <v xml:space="preserve"> </v>
      </c>
      <c r="AA32" s="398" t="str">
        <f t="shared" si="818"/>
        <v xml:space="preserve"> </v>
      </c>
      <c r="AB32" s="398" t="str">
        <f t="shared" si="818"/>
        <v xml:space="preserve"> </v>
      </c>
      <c r="AC32" s="398" t="str">
        <f t="shared" si="818"/>
        <v xml:space="preserve"> </v>
      </c>
      <c r="AD32" s="398" t="str">
        <f t="shared" si="818"/>
        <v xml:space="preserve"> </v>
      </c>
      <c r="AE32" s="398" t="str">
        <f t="shared" si="818"/>
        <v xml:space="preserve"> </v>
      </c>
      <c r="AF32" s="398" t="str">
        <f t="shared" si="818"/>
        <v xml:space="preserve"> </v>
      </c>
      <c r="AG32" s="398" t="str">
        <f t="shared" si="818"/>
        <v xml:space="preserve"> </v>
      </c>
      <c r="AH32" s="398" t="str">
        <f t="shared" si="818"/>
        <v xml:space="preserve"> </v>
      </c>
      <c r="AI32" s="398" t="str">
        <f t="shared" si="818"/>
        <v xml:space="preserve"> </v>
      </c>
      <c r="AJ32" s="398" t="str">
        <f t="shared" si="818"/>
        <v xml:space="preserve"> </v>
      </c>
      <c r="AK32" s="398" t="str">
        <f t="shared" si="818"/>
        <v xml:space="preserve"> </v>
      </c>
      <c r="AL32" s="398" t="str">
        <f t="shared" si="818"/>
        <v xml:space="preserve"> </v>
      </c>
      <c r="AM32" s="398" t="str">
        <f t="shared" si="818"/>
        <v xml:space="preserve"> </v>
      </c>
      <c r="AN32" s="398" t="str">
        <f t="shared" si="818"/>
        <v xml:space="preserve"> </v>
      </c>
      <c r="AO32" s="398" t="str">
        <f t="shared" si="818"/>
        <v xml:space="preserve"> </v>
      </c>
      <c r="AP32" s="398" t="str">
        <f t="shared" si="818"/>
        <v xml:space="preserve"> </v>
      </c>
      <c r="AQ32" s="398" t="str">
        <f t="shared" si="818"/>
        <v xml:space="preserve"> </v>
      </c>
      <c r="AR32" s="398" t="str">
        <f t="shared" si="818"/>
        <v xml:space="preserve"> </v>
      </c>
      <c r="AS32" s="398" t="str">
        <f t="shared" si="818"/>
        <v xml:space="preserve"> </v>
      </c>
      <c r="AT32" s="398" t="str">
        <f t="shared" si="818"/>
        <v xml:space="preserve"> </v>
      </c>
      <c r="AU32" s="398" t="str">
        <f t="shared" si="818"/>
        <v xml:space="preserve"> </v>
      </c>
      <c r="AV32" s="398" t="str">
        <f t="shared" si="818"/>
        <v xml:space="preserve"> </v>
      </c>
      <c r="AW32" s="398" t="str">
        <f t="shared" si="818"/>
        <v xml:space="preserve"> </v>
      </c>
      <c r="AX32" s="398" t="str">
        <f t="shared" si="818"/>
        <v xml:space="preserve"> </v>
      </c>
      <c r="AY32" s="398" t="str">
        <f t="shared" si="818"/>
        <v xml:space="preserve"> </v>
      </c>
      <c r="AZ32" s="398" t="str">
        <f t="shared" si="818"/>
        <v xml:space="preserve"> </v>
      </c>
      <c r="BA32" s="398" t="str">
        <f t="shared" si="818"/>
        <v xml:space="preserve"> </v>
      </c>
      <c r="BB32" s="398" t="str">
        <f t="shared" si="818"/>
        <v xml:space="preserve"> </v>
      </c>
      <c r="BC32" s="398" t="str">
        <f t="shared" si="818"/>
        <v xml:space="preserve"> </v>
      </c>
      <c r="BD32" s="398" t="str">
        <f t="shared" si="818"/>
        <v xml:space="preserve"> </v>
      </c>
      <c r="BE32" s="398" t="str">
        <f t="shared" si="818"/>
        <v xml:space="preserve"> </v>
      </c>
      <c r="BF32" s="398" t="str">
        <f t="shared" si="818"/>
        <v xml:space="preserve"> </v>
      </c>
      <c r="BG32" s="398" t="str">
        <f t="shared" si="818"/>
        <v xml:space="preserve"> </v>
      </c>
      <c r="BH32" s="398" t="str">
        <f t="shared" si="818"/>
        <v xml:space="preserve"> </v>
      </c>
      <c r="BI32" s="398" t="str">
        <f t="shared" si="818"/>
        <v xml:space="preserve"> </v>
      </c>
      <c r="BJ32" s="398" t="str">
        <f t="shared" si="818"/>
        <v xml:space="preserve"> </v>
      </c>
      <c r="BK32" s="398" t="str">
        <f t="shared" si="818"/>
        <v xml:space="preserve"> </v>
      </c>
      <c r="BL32" s="398" t="str">
        <f t="shared" si="818"/>
        <v xml:space="preserve"> </v>
      </c>
      <c r="BM32" s="398" t="str">
        <f t="shared" si="818"/>
        <v xml:space="preserve"> </v>
      </c>
      <c r="BN32" s="398">
        <f t="shared" si="818"/>
        <v>0.2533698399326032</v>
      </c>
      <c r="BO32" s="398">
        <f t="shared" si="818"/>
        <v>0.2533698399326032</v>
      </c>
      <c r="BP32" s="398">
        <f t="shared" si="818"/>
        <v>0.2533698399326032</v>
      </c>
      <c r="BQ32" s="398">
        <f t="shared" ref="BQ32:CX32" si="819">IF((BQ24+BQ23)=0," ",(BQ24+BQ23)/BQ27)</f>
        <v>0.39917864476386039</v>
      </c>
      <c r="BR32" s="398">
        <f t="shared" si="819"/>
        <v>0.39917864476386039</v>
      </c>
      <c r="BS32" s="398">
        <f t="shared" si="819"/>
        <v>0.39917864476386039</v>
      </c>
      <c r="BT32" s="398">
        <f t="shared" si="819"/>
        <v>0.56484227554596922</v>
      </c>
      <c r="BU32" s="398">
        <f t="shared" si="819"/>
        <v>0.56484227554596922</v>
      </c>
      <c r="BV32" s="398">
        <f t="shared" si="819"/>
        <v>0.56484227554596922</v>
      </c>
      <c r="BW32" s="398">
        <f t="shared" si="819"/>
        <v>0.49076160432627308</v>
      </c>
      <c r="BX32" s="398">
        <f t="shared" si="819"/>
        <v>0.49076160432627308</v>
      </c>
      <c r="BY32" s="398">
        <f t="shared" si="819"/>
        <v>0.49076160432627308</v>
      </c>
      <c r="BZ32" s="398">
        <f t="shared" si="819"/>
        <v>0.730257689110557</v>
      </c>
      <c r="CA32" s="398">
        <f t="shared" si="819"/>
        <v>0.730257689110557</v>
      </c>
      <c r="CB32" s="398">
        <f t="shared" si="819"/>
        <v>0.730257689110557</v>
      </c>
      <c r="CC32" s="398">
        <f t="shared" si="819"/>
        <v>0.67007299270072995</v>
      </c>
      <c r="CD32" s="398">
        <f t="shared" si="819"/>
        <v>0.67007299270072995</v>
      </c>
      <c r="CE32" s="398">
        <f t="shared" si="819"/>
        <v>0.67007299270072995</v>
      </c>
      <c r="CF32" s="398">
        <f t="shared" si="819"/>
        <v>0.73579201934703753</v>
      </c>
      <c r="CG32" s="398">
        <f t="shared" si="819"/>
        <v>0.73579201934703753</v>
      </c>
      <c r="CH32" s="398">
        <f t="shared" si="819"/>
        <v>0.73579201934703753</v>
      </c>
      <c r="CI32" s="398">
        <f t="shared" si="819"/>
        <v>0.69651741293532343</v>
      </c>
      <c r="CJ32" s="398">
        <f t="shared" si="819"/>
        <v>0.69651741293532343</v>
      </c>
      <c r="CK32" s="398">
        <f t="shared" si="819"/>
        <v>0.69651741293532343</v>
      </c>
      <c r="CL32" s="398">
        <f t="shared" si="819"/>
        <v>0.57480125271019034</v>
      </c>
      <c r="CM32" s="398">
        <f t="shared" si="819"/>
        <v>0.57480125271019034</v>
      </c>
      <c r="CN32" s="398">
        <f t="shared" si="819"/>
        <v>0.57480125271019034</v>
      </c>
      <c r="CO32" s="398">
        <f t="shared" ref="CO32:CT32" si="820">IF((CO24+CO23)=0," ",(CO24+CO23)/CO27)</f>
        <v>0.67589285714285718</v>
      </c>
      <c r="CP32" s="398">
        <f t="shared" si="820"/>
        <v>0.67589285714285718</v>
      </c>
      <c r="CQ32" s="398">
        <f t="shared" si="820"/>
        <v>0.67589285714285718</v>
      </c>
      <c r="CR32" s="398">
        <f t="shared" si="820"/>
        <v>0.65352049910873444</v>
      </c>
      <c r="CS32" s="398">
        <f t="shared" si="820"/>
        <v>0.65352049910873444</v>
      </c>
      <c r="CT32" s="398">
        <f t="shared" si="820"/>
        <v>0.65352049910873444</v>
      </c>
      <c r="CU32" s="398">
        <f t="shared" si="819"/>
        <v>0.95811355879615268</v>
      </c>
      <c r="CV32" s="398">
        <f t="shared" si="819"/>
        <v>0.95811355879615268</v>
      </c>
      <c r="CW32" s="398">
        <f t="shared" si="819"/>
        <v>0.95811355879615268</v>
      </c>
      <c r="CX32" s="398">
        <f t="shared" si="819"/>
        <v>0.95567957977675644</v>
      </c>
      <c r="CY32" s="398">
        <f t="shared" ref="CY32:DT32" si="821">IF((CY24+CY23)=0," ",(CY24+CY23)/CY27)</f>
        <v>0.95567957977675644</v>
      </c>
      <c r="CZ32" s="398">
        <f t="shared" si="821"/>
        <v>0.95567957977675644</v>
      </c>
      <c r="DA32" s="398">
        <f t="shared" si="821"/>
        <v>0.88157894736842102</v>
      </c>
      <c r="DB32" s="398">
        <f t="shared" si="821"/>
        <v>0.88157894736842102</v>
      </c>
      <c r="DC32" s="398">
        <f t="shared" si="821"/>
        <v>0.88157894736842102</v>
      </c>
      <c r="DD32" s="398">
        <f t="shared" si="821"/>
        <v>0.90957803081044875</v>
      </c>
      <c r="DE32" s="398">
        <f t="shared" si="821"/>
        <v>0.90957803081044875</v>
      </c>
      <c r="DF32" s="398">
        <f t="shared" si="821"/>
        <v>0.90957803081044875</v>
      </c>
      <c r="DG32" s="398">
        <f t="shared" si="821"/>
        <v>0.91852745926372958</v>
      </c>
      <c r="DH32" s="398">
        <f t="shared" si="821"/>
        <v>0.91852745926372958</v>
      </c>
      <c r="DI32" s="398">
        <f t="shared" si="821"/>
        <v>0.91852745926372958</v>
      </c>
      <c r="DJ32" s="398">
        <f t="shared" si="821"/>
        <v>0.91803278688524592</v>
      </c>
      <c r="DK32" s="398">
        <f t="shared" si="821"/>
        <v>0.91803278688524592</v>
      </c>
      <c r="DL32" s="398">
        <f t="shared" si="821"/>
        <v>0.91803278688524592</v>
      </c>
      <c r="DM32" s="398">
        <f t="shared" si="821"/>
        <v>0.95401907356948223</v>
      </c>
      <c r="DN32" s="398">
        <f t="shared" si="821"/>
        <v>0.95401907356948223</v>
      </c>
      <c r="DO32" s="398">
        <f t="shared" si="821"/>
        <v>0.95401907356948223</v>
      </c>
      <c r="DP32" s="398" t="str">
        <f t="shared" si="821"/>
        <v xml:space="preserve"> </v>
      </c>
      <c r="DQ32" s="398" t="str">
        <f t="shared" si="821"/>
        <v xml:space="preserve"> </v>
      </c>
      <c r="DR32" s="398" t="str">
        <f t="shared" si="821"/>
        <v xml:space="preserve"> </v>
      </c>
      <c r="DS32" s="398">
        <f t="shared" si="821"/>
        <v>0.74464187580142882</v>
      </c>
      <c r="DT32" s="398">
        <f t="shared" si="821"/>
        <v>0.74464187580142882</v>
      </c>
      <c r="DU32" s="398">
        <f t="shared" ref="DU32" si="822">IF((DU24+DU23)=0," ",(DU24+DU23)/DU27)</f>
        <v>0.74464187580142882</v>
      </c>
    </row>
    <row r="33" spans="1:125">
      <c r="B33" s="87" t="s">
        <v>205</v>
      </c>
      <c r="C33" s="398" t="str">
        <f t="shared" ref="C33:D33" si="823">IF((C23+C24+C26)=0," ",(C23+C24+C26)/C27)</f>
        <v xml:space="preserve"> </v>
      </c>
      <c r="D33" s="398" t="str">
        <f t="shared" si="823"/>
        <v xml:space="preserve"> </v>
      </c>
      <c r="E33" s="398" t="str">
        <f t="shared" ref="E33:BP33" si="824">IF((E23+E24+E26)=0," ",(E23+E24+E26)/E27)</f>
        <v xml:space="preserve"> </v>
      </c>
      <c r="F33" s="398" t="str">
        <f t="shared" si="824"/>
        <v xml:space="preserve"> </v>
      </c>
      <c r="G33" s="398" t="str">
        <f t="shared" si="824"/>
        <v xml:space="preserve"> </v>
      </c>
      <c r="H33" s="398" t="str">
        <f t="shared" si="824"/>
        <v xml:space="preserve"> </v>
      </c>
      <c r="I33" s="398" t="str">
        <f t="shared" si="824"/>
        <v xml:space="preserve"> </v>
      </c>
      <c r="J33" s="398" t="str">
        <f t="shared" si="824"/>
        <v xml:space="preserve"> </v>
      </c>
      <c r="K33" s="398" t="str">
        <f t="shared" si="824"/>
        <v xml:space="preserve"> </v>
      </c>
      <c r="L33" s="398" t="str">
        <f t="shared" si="824"/>
        <v xml:space="preserve"> </v>
      </c>
      <c r="M33" s="398" t="str">
        <f t="shared" si="824"/>
        <v xml:space="preserve"> </v>
      </c>
      <c r="N33" s="398" t="str">
        <f t="shared" si="824"/>
        <v xml:space="preserve"> </v>
      </c>
      <c r="O33" s="398" t="str">
        <f t="shared" si="824"/>
        <v xml:space="preserve"> </v>
      </c>
      <c r="P33" s="398" t="str">
        <f t="shared" si="824"/>
        <v xml:space="preserve"> </v>
      </c>
      <c r="Q33" s="398" t="str">
        <f t="shared" si="824"/>
        <v xml:space="preserve"> </v>
      </c>
      <c r="R33" s="398" t="str">
        <f t="shared" si="824"/>
        <v xml:space="preserve"> </v>
      </c>
      <c r="S33" s="398" t="str">
        <f t="shared" si="824"/>
        <v xml:space="preserve"> </v>
      </c>
      <c r="T33" s="398" t="str">
        <f t="shared" si="824"/>
        <v xml:space="preserve"> </v>
      </c>
      <c r="U33" s="398" t="str">
        <f t="shared" si="824"/>
        <v xml:space="preserve"> </v>
      </c>
      <c r="V33" s="398" t="str">
        <f t="shared" si="824"/>
        <v xml:space="preserve"> </v>
      </c>
      <c r="W33" s="398" t="str">
        <f t="shared" si="824"/>
        <v xml:space="preserve"> </v>
      </c>
      <c r="X33" s="398" t="str">
        <f t="shared" si="824"/>
        <v xml:space="preserve"> </v>
      </c>
      <c r="Y33" s="398" t="str">
        <f t="shared" si="824"/>
        <v xml:space="preserve"> </v>
      </c>
      <c r="Z33" s="398" t="str">
        <f t="shared" si="824"/>
        <v xml:space="preserve"> </v>
      </c>
      <c r="AA33" s="398" t="str">
        <f t="shared" si="824"/>
        <v xml:space="preserve"> </v>
      </c>
      <c r="AB33" s="398" t="str">
        <f t="shared" si="824"/>
        <v xml:space="preserve"> </v>
      </c>
      <c r="AC33" s="398" t="str">
        <f t="shared" si="824"/>
        <v xml:space="preserve"> </v>
      </c>
      <c r="AD33" s="398" t="str">
        <f t="shared" si="824"/>
        <v xml:space="preserve"> </v>
      </c>
      <c r="AE33" s="398" t="str">
        <f t="shared" si="824"/>
        <v xml:space="preserve"> </v>
      </c>
      <c r="AF33" s="398" t="str">
        <f t="shared" si="824"/>
        <v xml:space="preserve"> </v>
      </c>
      <c r="AG33" s="398" t="str">
        <f t="shared" si="824"/>
        <v xml:space="preserve"> </v>
      </c>
      <c r="AH33" s="398" t="str">
        <f t="shared" si="824"/>
        <v xml:space="preserve"> </v>
      </c>
      <c r="AI33" s="398" t="str">
        <f t="shared" si="824"/>
        <v xml:space="preserve"> </v>
      </c>
      <c r="AJ33" s="398" t="str">
        <f t="shared" si="824"/>
        <v xml:space="preserve"> </v>
      </c>
      <c r="AK33" s="398" t="str">
        <f t="shared" si="824"/>
        <v xml:space="preserve"> </v>
      </c>
      <c r="AL33" s="398" t="str">
        <f t="shared" si="824"/>
        <v xml:space="preserve"> </v>
      </c>
      <c r="AM33" s="398" t="str">
        <f t="shared" si="824"/>
        <v xml:space="preserve"> </v>
      </c>
      <c r="AN33" s="398" t="str">
        <f t="shared" si="824"/>
        <v xml:space="preserve"> </v>
      </c>
      <c r="AO33" s="398" t="str">
        <f t="shared" si="824"/>
        <v xml:space="preserve"> </v>
      </c>
      <c r="AP33" s="398" t="str">
        <f t="shared" si="824"/>
        <v xml:space="preserve"> </v>
      </c>
      <c r="AQ33" s="398" t="str">
        <f t="shared" si="824"/>
        <v xml:space="preserve"> </v>
      </c>
      <c r="AR33" s="398" t="str">
        <f t="shared" si="824"/>
        <v xml:space="preserve"> </v>
      </c>
      <c r="AS33" s="398" t="str">
        <f t="shared" si="824"/>
        <v xml:space="preserve"> </v>
      </c>
      <c r="AT33" s="398" t="str">
        <f t="shared" si="824"/>
        <v xml:space="preserve"> </v>
      </c>
      <c r="AU33" s="398" t="str">
        <f t="shared" si="824"/>
        <v xml:space="preserve"> </v>
      </c>
      <c r="AV33" s="398" t="str">
        <f t="shared" si="824"/>
        <v xml:space="preserve"> </v>
      </c>
      <c r="AW33" s="398" t="str">
        <f t="shared" si="824"/>
        <v xml:space="preserve"> </v>
      </c>
      <c r="AX33" s="398" t="str">
        <f t="shared" si="824"/>
        <v xml:space="preserve"> </v>
      </c>
      <c r="AY33" s="398" t="str">
        <f t="shared" si="824"/>
        <v xml:space="preserve"> </v>
      </c>
      <c r="AZ33" s="398" t="str">
        <f t="shared" si="824"/>
        <v xml:space="preserve"> </v>
      </c>
      <c r="BA33" s="398" t="str">
        <f t="shared" si="824"/>
        <v xml:space="preserve"> </v>
      </c>
      <c r="BB33" s="398" t="str">
        <f t="shared" si="824"/>
        <v xml:space="preserve"> </v>
      </c>
      <c r="BC33" s="398" t="str">
        <f t="shared" si="824"/>
        <v xml:space="preserve"> </v>
      </c>
      <c r="BD33" s="398" t="str">
        <f t="shared" si="824"/>
        <v xml:space="preserve"> </v>
      </c>
      <c r="BE33" s="398" t="str">
        <f t="shared" si="824"/>
        <v xml:space="preserve"> </v>
      </c>
      <c r="BF33" s="398" t="str">
        <f t="shared" si="824"/>
        <v xml:space="preserve"> </v>
      </c>
      <c r="BG33" s="398" t="str">
        <f t="shared" si="824"/>
        <v xml:space="preserve"> </v>
      </c>
      <c r="BH33" s="398" t="str">
        <f t="shared" si="824"/>
        <v xml:space="preserve"> </v>
      </c>
      <c r="BI33" s="398" t="str">
        <f t="shared" si="824"/>
        <v xml:space="preserve"> </v>
      </c>
      <c r="BJ33" s="398" t="str">
        <f t="shared" si="824"/>
        <v xml:space="preserve"> </v>
      </c>
      <c r="BK33" s="398" t="str">
        <f t="shared" si="824"/>
        <v xml:space="preserve"> </v>
      </c>
      <c r="BL33" s="398" t="str">
        <f t="shared" si="824"/>
        <v xml:space="preserve"> </v>
      </c>
      <c r="BM33" s="398" t="str">
        <f t="shared" si="824"/>
        <v xml:space="preserve"> </v>
      </c>
      <c r="BN33" s="398">
        <f t="shared" si="824"/>
        <v>0.27759056444818869</v>
      </c>
      <c r="BO33" s="398">
        <f t="shared" si="824"/>
        <v>0.27759056444818869</v>
      </c>
      <c r="BP33" s="398">
        <f t="shared" si="824"/>
        <v>0.27759056444818869</v>
      </c>
      <c r="BQ33" s="398">
        <f t="shared" ref="BQ33:CX33" si="825">IF((BQ23+BQ24+BQ26)=0," ",(BQ23+BQ24+BQ26)/BQ27)</f>
        <v>0.42156057494866528</v>
      </c>
      <c r="BR33" s="398">
        <f t="shared" si="825"/>
        <v>0.42156057494866528</v>
      </c>
      <c r="BS33" s="398">
        <f t="shared" si="825"/>
        <v>0.42156057494866528</v>
      </c>
      <c r="BT33" s="398">
        <f t="shared" si="825"/>
        <v>0.59530870854677809</v>
      </c>
      <c r="BU33" s="398">
        <f t="shared" si="825"/>
        <v>0.59530870854677809</v>
      </c>
      <c r="BV33" s="398">
        <f t="shared" si="825"/>
        <v>0.59530870854677809</v>
      </c>
      <c r="BW33" s="398">
        <f t="shared" si="825"/>
        <v>0.51757548445245605</v>
      </c>
      <c r="BX33" s="398">
        <f t="shared" si="825"/>
        <v>0.51757548445245605</v>
      </c>
      <c r="BY33" s="398">
        <f t="shared" si="825"/>
        <v>0.51757548445245605</v>
      </c>
      <c r="BZ33" s="398">
        <f t="shared" si="825"/>
        <v>0.75332502078137986</v>
      </c>
      <c r="CA33" s="398">
        <f t="shared" si="825"/>
        <v>0.75332502078137986</v>
      </c>
      <c r="CB33" s="398">
        <f t="shared" si="825"/>
        <v>0.75332502078137986</v>
      </c>
      <c r="CC33" s="398">
        <f t="shared" si="825"/>
        <v>0.69927007299270072</v>
      </c>
      <c r="CD33" s="398">
        <f t="shared" si="825"/>
        <v>0.69927007299270072</v>
      </c>
      <c r="CE33" s="398">
        <f t="shared" si="825"/>
        <v>0.69927007299270072</v>
      </c>
      <c r="CF33" s="398">
        <f t="shared" si="825"/>
        <v>0.77206771463119706</v>
      </c>
      <c r="CG33" s="398">
        <f t="shared" si="825"/>
        <v>0.77206771463119706</v>
      </c>
      <c r="CH33" s="398">
        <f t="shared" si="825"/>
        <v>0.77206771463119706</v>
      </c>
      <c r="CI33" s="398">
        <f t="shared" si="825"/>
        <v>0.74271499644633976</v>
      </c>
      <c r="CJ33" s="398">
        <f t="shared" si="825"/>
        <v>0.74271499644633976</v>
      </c>
      <c r="CK33" s="398">
        <f t="shared" si="825"/>
        <v>0.74271499644633976</v>
      </c>
      <c r="CL33" s="398">
        <f t="shared" si="825"/>
        <v>0.60804625391471934</v>
      </c>
      <c r="CM33" s="398">
        <f t="shared" si="825"/>
        <v>0.60804625391471934</v>
      </c>
      <c r="CN33" s="398">
        <f t="shared" si="825"/>
        <v>0.60804625391471934</v>
      </c>
      <c r="CO33" s="398">
        <f t="shared" ref="CO33:CT33" si="826">IF((CO23+CO24+CO26)=0," ",(CO23+CO24+CO26)/CO27)</f>
        <v>0.70714285714285718</v>
      </c>
      <c r="CP33" s="398">
        <f t="shared" si="826"/>
        <v>0.70714285714285718</v>
      </c>
      <c r="CQ33" s="398">
        <f t="shared" si="826"/>
        <v>0.70714285714285718</v>
      </c>
      <c r="CR33" s="398">
        <f t="shared" si="826"/>
        <v>0.68360071301247771</v>
      </c>
      <c r="CS33" s="398">
        <f t="shared" si="826"/>
        <v>0.68360071301247771</v>
      </c>
      <c r="CT33" s="398">
        <f t="shared" si="826"/>
        <v>0.68360071301247771</v>
      </c>
      <c r="CU33" s="398">
        <f t="shared" si="825"/>
        <v>1</v>
      </c>
      <c r="CV33" s="398">
        <f t="shared" si="825"/>
        <v>1</v>
      </c>
      <c r="CW33" s="398">
        <f t="shared" si="825"/>
        <v>1</v>
      </c>
      <c r="CX33" s="398">
        <f t="shared" si="825"/>
        <v>1</v>
      </c>
      <c r="CY33" s="398">
        <f t="shared" ref="CY33:DT33" si="827">IF((CY23+CY24+CY26)=0," ",(CY23+CY24+CY26)/CY27)</f>
        <v>1</v>
      </c>
      <c r="CZ33" s="398">
        <f t="shared" si="827"/>
        <v>1</v>
      </c>
      <c r="DA33" s="398">
        <f t="shared" si="827"/>
        <v>1</v>
      </c>
      <c r="DB33" s="398">
        <f t="shared" si="827"/>
        <v>1</v>
      </c>
      <c r="DC33" s="398">
        <f t="shared" si="827"/>
        <v>1</v>
      </c>
      <c r="DD33" s="398">
        <f t="shared" si="827"/>
        <v>1</v>
      </c>
      <c r="DE33" s="398">
        <f t="shared" si="827"/>
        <v>1</v>
      </c>
      <c r="DF33" s="398">
        <f t="shared" si="827"/>
        <v>1</v>
      </c>
      <c r="DG33" s="398">
        <f t="shared" si="827"/>
        <v>1</v>
      </c>
      <c r="DH33" s="398">
        <f t="shared" si="827"/>
        <v>1</v>
      </c>
      <c r="DI33" s="398">
        <f t="shared" si="827"/>
        <v>1</v>
      </c>
      <c r="DJ33" s="398">
        <f t="shared" si="827"/>
        <v>1</v>
      </c>
      <c r="DK33" s="398">
        <f t="shared" si="827"/>
        <v>1</v>
      </c>
      <c r="DL33" s="398">
        <f t="shared" si="827"/>
        <v>1</v>
      </c>
      <c r="DM33" s="398">
        <f t="shared" si="827"/>
        <v>1</v>
      </c>
      <c r="DN33" s="398">
        <f t="shared" si="827"/>
        <v>1</v>
      </c>
      <c r="DO33" s="398">
        <f t="shared" si="827"/>
        <v>1</v>
      </c>
      <c r="DP33" s="398">
        <f t="shared" si="827"/>
        <v>1</v>
      </c>
      <c r="DQ33" s="398">
        <f t="shared" si="827"/>
        <v>1</v>
      </c>
      <c r="DR33" s="398">
        <f t="shared" si="827"/>
        <v>1</v>
      </c>
      <c r="DS33" s="398">
        <f t="shared" si="827"/>
        <v>1</v>
      </c>
      <c r="DT33" s="398">
        <f t="shared" si="827"/>
        <v>1</v>
      </c>
      <c r="DU33" s="398">
        <f t="shared" ref="DU33" si="828">IF((DU23+DU24+DU26)=0," ",(DU23+DU24+DU26)/DU27)</f>
        <v>1</v>
      </c>
    </row>
    <row r="34" spans="1:125">
      <c r="B34" s="87" t="s">
        <v>206</v>
      </c>
      <c r="C34" s="398" t="e">
        <f>C24/C27</f>
        <v>#DIV/0!</v>
      </c>
      <c r="D34" s="398" t="e">
        <f t="shared" ref="D34" si="829">D24/D27</f>
        <v>#DIV/0!</v>
      </c>
      <c r="E34" s="398" t="e">
        <f t="shared" ref="E34:BP34" si="830">E24/E27</f>
        <v>#DIV/0!</v>
      </c>
      <c r="F34" s="398" t="e">
        <f t="shared" si="830"/>
        <v>#DIV/0!</v>
      </c>
      <c r="G34" s="398" t="e">
        <f t="shared" si="830"/>
        <v>#DIV/0!</v>
      </c>
      <c r="H34" s="398" t="e">
        <f t="shared" si="830"/>
        <v>#DIV/0!</v>
      </c>
      <c r="I34" s="398" t="e">
        <f t="shared" si="830"/>
        <v>#DIV/0!</v>
      </c>
      <c r="J34" s="398" t="e">
        <f t="shared" si="830"/>
        <v>#DIV/0!</v>
      </c>
      <c r="K34" s="398" t="e">
        <f t="shared" si="830"/>
        <v>#DIV/0!</v>
      </c>
      <c r="L34" s="398" t="e">
        <f t="shared" si="830"/>
        <v>#DIV/0!</v>
      </c>
      <c r="M34" s="398" t="e">
        <f t="shared" si="830"/>
        <v>#DIV/0!</v>
      </c>
      <c r="N34" s="398" t="e">
        <f t="shared" si="830"/>
        <v>#DIV/0!</v>
      </c>
      <c r="O34" s="398" t="e">
        <f t="shared" si="830"/>
        <v>#DIV/0!</v>
      </c>
      <c r="P34" s="398" t="e">
        <f t="shared" si="830"/>
        <v>#DIV/0!</v>
      </c>
      <c r="Q34" s="398" t="e">
        <f t="shared" si="830"/>
        <v>#DIV/0!</v>
      </c>
      <c r="R34" s="398" t="e">
        <f t="shared" si="830"/>
        <v>#DIV/0!</v>
      </c>
      <c r="S34" s="398" t="e">
        <f t="shared" si="830"/>
        <v>#DIV/0!</v>
      </c>
      <c r="T34" s="398" t="e">
        <f t="shared" si="830"/>
        <v>#DIV/0!</v>
      </c>
      <c r="U34" s="398" t="e">
        <f t="shared" si="830"/>
        <v>#DIV/0!</v>
      </c>
      <c r="V34" s="398" t="e">
        <f t="shared" si="830"/>
        <v>#DIV/0!</v>
      </c>
      <c r="W34" s="398" t="e">
        <f t="shared" si="830"/>
        <v>#DIV/0!</v>
      </c>
      <c r="X34" s="398" t="e">
        <f t="shared" si="830"/>
        <v>#DIV/0!</v>
      </c>
      <c r="Y34" s="398" t="e">
        <f t="shared" si="830"/>
        <v>#DIV/0!</v>
      </c>
      <c r="Z34" s="398" t="e">
        <f t="shared" si="830"/>
        <v>#DIV/0!</v>
      </c>
      <c r="AA34" s="398" t="e">
        <f t="shared" si="830"/>
        <v>#DIV/0!</v>
      </c>
      <c r="AB34" s="398" t="e">
        <f t="shared" si="830"/>
        <v>#DIV/0!</v>
      </c>
      <c r="AC34" s="398" t="e">
        <f t="shared" si="830"/>
        <v>#DIV/0!</v>
      </c>
      <c r="AD34" s="398" t="e">
        <f t="shared" si="830"/>
        <v>#DIV/0!</v>
      </c>
      <c r="AE34" s="398" t="e">
        <f t="shared" si="830"/>
        <v>#DIV/0!</v>
      </c>
      <c r="AF34" s="398" t="e">
        <f t="shared" si="830"/>
        <v>#DIV/0!</v>
      </c>
      <c r="AG34" s="398" t="e">
        <f t="shared" si="830"/>
        <v>#DIV/0!</v>
      </c>
      <c r="AH34" s="398" t="e">
        <f t="shared" si="830"/>
        <v>#DIV/0!</v>
      </c>
      <c r="AI34" s="398" t="e">
        <f t="shared" si="830"/>
        <v>#DIV/0!</v>
      </c>
      <c r="AJ34" s="398" t="e">
        <f t="shared" si="830"/>
        <v>#DIV/0!</v>
      </c>
      <c r="AK34" s="398" t="e">
        <f t="shared" si="830"/>
        <v>#DIV/0!</v>
      </c>
      <c r="AL34" s="398" t="e">
        <f t="shared" si="830"/>
        <v>#DIV/0!</v>
      </c>
      <c r="AM34" s="398" t="e">
        <f t="shared" si="830"/>
        <v>#DIV/0!</v>
      </c>
      <c r="AN34" s="398" t="e">
        <f t="shared" si="830"/>
        <v>#DIV/0!</v>
      </c>
      <c r="AO34" s="398" t="e">
        <f t="shared" si="830"/>
        <v>#DIV/0!</v>
      </c>
      <c r="AP34" s="398" t="e">
        <f t="shared" si="830"/>
        <v>#DIV/0!</v>
      </c>
      <c r="AQ34" s="398" t="e">
        <f t="shared" si="830"/>
        <v>#DIV/0!</v>
      </c>
      <c r="AR34" s="398" t="e">
        <f t="shared" si="830"/>
        <v>#DIV/0!</v>
      </c>
      <c r="AS34" s="398" t="e">
        <f t="shared" si="830"/>
        <v>#DIV/0!</v>
      </c>
      <c r="AT34" s="398" t="e">
        <f t="shared" si="830"/>
        <v>#DIV/0!</v>
      </c>
      <c r="AU34" s="398" t="e">
        <f t="shared" si="830"/>
        <v>#DIV/0!</v>
      </c>
      <c r="AV34" s="398" t="e">
        <f t="shared" si="830"/>
        <v>#DIV/0!</v>
      </c>
      <c r="AW34" s="398" t="e">
        <f t="shared" si="830"/>
        <v>#DIV/0!</v>
      </c>
      <c r="AX34" s="398" t="e">
        <f t="shared" si="830"/>
        <v>#DIV/0!</v>
      </c>
      <c r="AY34" s="398" t="e">
        <f t="shared" si="830"/>
        <v>#DIV/0!</v>
      </c>
      <c r="AZ34" s="398" t="e">
        <f t="shared" si="830"/>
        <v>#DIV/0!</v>
      </c>
      <c r="BA34" s="398" t="e">
        <f t="shared" si="830"/>
        <v>#DIV/0!</v>
      </c>
      <c r="BB34" s="398" t="e">
        <f t="shared" si="830"/>
        <v>#DIV/0!</v>
      </c>
      <c r="BC34" s="398" t="e">
        <f t="shared" si="830"/>
        <v>#DIV/0!</v>
      </c>
      <c r="BD34" s="398" t="e">
        <f t="shared" si="830"/>
        <v>#DIV/0!</v>
      </c>
      <c r="BE34" s="398" t="e">
        <f t="shared" si="830"/>
        <v>#DIV/0!</v>
      </c>
      <c r="BF34" s="398" t="e">
        <f t="shared" si="830"/>
        <v>#DIV/0!</v>
      </c>
      <c r="BG34" s="398" t="e">
        <f t="shared" si="830"/>
        <v>#DIV/0!</v>
      </c>
      <c r="BH34" s="398" t="e">
        <f t="shared" si="830"/>
        <v>#DIV/0!</v>
      </c>
      <c r="BI34" s="398" t="e">
        <f t="shared" si="830"/>
        <v>#DIV/0!</v>
      </c>
      <c r="BJ34" s="398" t="e">
        <f t="shared" si="830"/>
        <v>#DIV/0!</v>
      </c>
      <c r="BK34" s="398" t="e">
        <f t="shared" si="830"/>
        <v>#DIV/0!</v>
      </c>
      <c r="BL34" s="398" t="e">
        <f t="shared" si="830"/>
        <v>#DIV/0!</v>
      </c>
      <c r="BM34" s="398" t="e">
        <f t="shared" si="830"/>
        <v>#DIV/0!</v>
      </c>
      <c r="BN34" s="398">
        <f t="shared" si="830"/>
        <v>0</v>
      </c>
      <c r="BO34" s="398">
        <f t="shared" si="830"/>
        <v>0</v>
      </c>
      <c r="BP34" s="398">
        <f t="shared" si="830"/>
        <v>0</v>
      </c>
      <c r="BQ34" s="398">
        <f t="shared" ref="BQ34:CX34" si="831">BQ24/BQ27</f>
        <v>0</v>
      </c>
      <c r="BR34" s="398">
        <f t="shared" si="831"/>
        <v>0</v>
      </c>
      <c r="BS34" s="398">
        <f t="shared" si="831"/>
        <v>0</v>
      </c>
      <c r="BT34" s="398">
        <f t="shared" si="831"/>
        <v>0</v>
      </c>
      <c r="BU34" s="398">
        <f t="shared" si="831"/>
        <v>0</v>
      </c>
      <c r="BV34" s="398">
        <f t="shared" si="831"/>
        <v>0</v>
      </c>
      <c r="BW34" s="398">
        <f t="shared" si="831"/>
        <v>0</v>
      </c>
      <c r="BX34" s="398">
        <f t="shared" si="831"/>
        <v>0</v>
      </c>
      <c r="BY34" s="398">
        <f t="shared" si="831"/>
        <v>0</v>
      </c>
      <c r="BZ34" s="398">
        <f t="shared" si="831"/>
        <v>0</v>
      </c>
      <c r="CA34" s="398">
        <f t="shared" si="831"/>
        <v>0</v>
      </c>
      <c r="CB34" s="398">
        <f t="shared" si="831"/>
        <v>0</v>
      </c>
      <c r="CC34" s="398">
        <f t="shared" si="831"/>
        <v>0</v>
      </c>
      <c r="CD34" s="398">
        <f t="shared" si="831"/>
        <v>0</v>
      </c>
      <c r="CE34" s="398">
        <f t="shared" si="831"/>
        <v>0</v>
      </c>
      <c r="CF34" s="398">
        <f t="shared" si="831"/>
        <v>0</v>
      </c>
      <c r="CG34" s="398">
        <f t="shared" si="831"/>
        <v>0</v>
      </c>
      <c r="CH34" s="398">
        <f t="shared" si="831"/>
        <v>0</v>
      </c>
      <c r="CI34" s="398">
        <f t="shared" si="831"/>
        <v>0</v>
      </c>
      <c r="CJ34" s="398">
        <f t="shared" si="831"/>
        <v>0</v>
      </c>
      <c r="CK34" s="398">
        <f t="shared" si="831"/>
        <v>0</v>
      </c>
      <c r="CL34" s="398">
        <f t="shared" si="831"/>
        <v>0</v>
      </c>
      <c r="CM34" s="398">
        <f t="shared" si="831"/>
        <v>0</v>
      </c>
      <c r="CN34" s="398">
        <f t="shared" si="831"/>
        <v>0</v>
      </c>
      <c r="CO34" s="398">
        <f t="shared" ref="CO34:CT34" si="832">CO24/CO27</f>
        <v>0</v>
      </c>
      <c r="CP34" s="398">
        <f t="shared" si="832"/>
        <v>0</v>
      </c>
      <c r="CQ34" s="398">
        <f t="shared" si="832"/>
        <v>0</v>
      </c>
      <c r="CR34" s="398">
        <f t="shared" si="832"/>
        <v>0</v>
      </c>
      <c r="CS34" s="398">
        <f t="shared" si="832"/>
        <v>0</v>
      </c>
      <c r="CT34" s="398">
        <f t="shared" si="832"/>
        <v>0</v>
      </c>
      <c r="CU34" s="398">
        <f t="shared" si="831"/>
        <v>0</v>
      </c>
      <c r="CV34" s="398">
        <f t="shared" si="831"/>
        <v>0</v>
      </c>
      <c r="CW34" s="398">
        <f t="shared" si="831"/>
        <v>0</v>
      </c>
      <c r="CX34" s="398">
        <f t="shared" si="831"/>
        <v>0</v>
      </c>
      <c r="CY34" s="398">
        <f t="shared" ref="CY34:DT34" si="833">CY24/CY27</f>
        <v>0</v>
      </c>
      <c r="CZ34" s="398">
        <f t="shared" si="833"/>
        <v>0</v>
      </c>
      <c r="DA34" s="398">
        <f t="shared" si="833"/>
        <v>0</v>
      </c>
      <c r="DB34" s="398">
        <f t="shared" si="833"/>
        <v>0</v>
      </c>
      <c r="DC34" s="398">
        <f t="shared" si="833"/>
        <v>0</v>
      </c>
      <c r="DD34" s="398">
        <f t="shared" si="833"/>
        <v>0</v>
      </c>
      <c r="DE34" s="398">
        <f t="shared" si="833"/>
        <v>0</v>
      </c>
      <c r="DF34" s="398">
        <f t="shared" si="833"/>
        <v>0</v>
      </c>
      <c r="DG34" s="398">
        <f t="shared" si="833"/>
        <v>0</v>
      </c>
      <c r="DH34" s="398">
        <f t="shared" si="833"/>
        <v>0</v>
      </c>
      <c r="DI34" s="398">
        <f t="shared" si="833"/>
        <v>0</v>
      </c>
      <c r="DJ34" s="398">
        <f t="shared" si="833"/>
        <v>0</v>
      </c>
      <c r="DK34" s="398">
        <f t="shared" si="833"/>
        <v>0</v>
      </c>
      <c r="DL34" s="398">
        <f t="shared" si="833"/>
        <v>0</v>
      </c>
      <c r="DM34" s="398">
        <f t="shared" si="833"/>
        <v>0</v>
      </c>
      <c r="DN34" s="398">
        <f t="shared" si="833"/>
        <v>0</v>
      </c>
      <c r="DO34" s="398">
        <f t="shared" si="833"/>
        <v>0</v>
      </c>
      <c r="DP34" s="398">
        <f t="shared" si="833"/>
        <v>0</v>
      </c>
      <c r="DQ34" s="398">
        <f t="shared" si="833"/>
        <v>0</v>
      </c>
      <c r="DR34" s="398">
        <f t="shared" si="833"/>
        <v>0</v>
      </c>
      <c r="DS34" s="398">
        <f t="shared" si="833"/>
        <v>0</v>
      </c>
      <c r="DT34" s="398">
        <f t="shared" si="833"/>
        <v>0</v>
      </c>
      <c r="DU34" s="398">
        <f t="shared" ref="DU34" si="834">DU24/DU27</f>
        <v>0</v>
      </c>
    </row>
    <row r="35" spans="1:125">
      <c r="AA35" s="175"/>
    </row>
    <row r="36" spans="1:125">
      <c r="B36" s="249" t="s">
        <v>207</v>
      </c>
      <c r="C36" s="250">
        <f>$C$3</f>
        <v>42400</v>
      </c>
      <c r="D36" s="250">
        <f>EOMONTH(C36,1)</f>
        <v>42429</v>
      </c>
      <c r="E36" s="250">
        <f t="shared" ref="E36:AE36" si="835">EOMONTH(D36,1)</f>
        <v>42460</v>
      </c>
      <c r="F36" s="250">
        <f t="shared" si="835"/>
        <v>42490</v>
      </c>
      <c r="G36" s="250">
        <f t="shared" si="835"/>
        <v>42521</v>
      </c>
      <c r="H36" s="250">
        <f t="shared" si="835"/>
        <v>42551</v>
      </c>
      <c r="I36" s="250">
        <f t="shared" si="835"/>
        <v>42582</v>
      </c>
      <c r="J36" s="250">
        <f t="shared" si="835"/>
        <v>42613</v>
      </c>
      <c r="K36" s="250">
        <f t="shared" si="835"/>
        <v>42643</v>
      </c>
      <c r="L36" s="250">
        <f t="shared" si="835"/>
        <v>42674</v>
      </c>
      <c r="M36" s="250">
        <f t="shared" si="835"/>
        <v>42704</v>
      </c>
      <c r="N36" s="250">
        <f t="shared" si="835"/>
        <v>42735</v>
      </c>
      <c r="O36" s="250">
        <f t="shared" si="835"/>
        <v>42766</v>
      </c>
      <c r="P36" s="250">
        <f t="shared" si="835"/>
        <v>42794</v>
      </c>
      <c r="Q36" s="250">
        <f t="shared" si="835"/>
        <v>42825</v>
      </c>
      <c r="R36" s="250">
        <f t="shared" si="835"/>
        <v>42855</v>
      </c>
      <c r="S36" s="250">
        <f t="shared" si="835"/>
        <v>42886</v>
      </c>
      <c r="T36" s="250">
        <f t="shared" si="835"/>
        <v>42916</v>
      </c>
      <c r="U36" s="250">
        <f t="shared" si="835"/>
        <v>42947</v>
      </c>
      <c r="V36" s="250">
        <f t="shared" si="835"/>
        <v>42978</v>
      </c>
      <c r="W36" s="250">
        <f t="shared" si="835"/>
        <v>43008</v>
      </c>
      <c r="X36" s="250">
        <f t="shared" si="835"/>
        <v>43039</v>
      </c>
      <c r="Y36" s="250">
        <f t="shared" si="835"/>
        <v>43069</v>
      </c>
      <c r="Z36" s="250">
        <f t="shared" si="835"/>
        <v>43100</v>
      </c>
      <c r="AA36" s="250">
        <f t="shared" si="835"/>
        <v>43131</v>
      </c>
      <c r="AB36" s="250">
        <f t="shared" si="835"/>
        <v>43159</v>
      </c>
      <c r="AC36" s="250">
        <f t="shared" si="835"/>
        <v>43190</v>
      </c>
      <c r="AD36" s="250">
        <f t="shared" si="835"/>
        <v>43220</v>
      </c>
      <c r="AE36" s="250">
        <f t="shared" si="835"/>
        <v>43251</v>
      </c>
      <c r="AF36" s="250">
        <f t="shared" ref="AF36" si="836">EOMONTH(AE36,1)</f>
        <v>43281</v>
      </c>
      <c r="AG36" s="250">
        <f t="shared" ref="AG36" si="837">EOMONTH(AF36,1)</f>
        <v>43312</v>
      </c>
      <c r="AH36" s="250">
        <f t="shared" ref="AH36" si="838">EOMONTH(AG36,1)</f>
        <v>43343</v>
      </c>
      <c r="AI36" s="250">
        <f t="shared" ref="AI36" si="839">EOMONTH(AH36,1)</f>
        <v>43373</v>
      </c>
      <c r="AJ36" s="248">
        <f t="shared" ref="AJ36" si="840">EOMONTH(AI36,1)</f>
        <v>43404</v>
      </c>
      <c r="AK36" s="248">
        <f t="shared" ref="AK36" si="841">EOMONTH(AJ36,1)</f>
        <v>43434</v>
      </c>
      <c r="AL36" s="248">
        <f t="shared" ref="AL36" si="842">EOMONTH(AK36,1)</f>
        <v>43465</v>
      </c>
      <c r="AM36" s="248">
        <f t="shared" ref="AM36" si="843">EOMONTH(AL36,1)</f>
        <v>43496</v>
      </c>
      <c r="AN36" s="248">
        <f t="shared" ref="AN36" si="844">EOMONTH(AM36,1)</f>
        <v>43524</v>
      </c>
      <c r="AO36" s="248">
        <f t="shared" ref="AO36" si="845">EOMONTH(AN36,1)</f>
        <v>43555</v>
      </c>
      <c r="AP36" s="248">
        <f t="shared" ref="AP36" si="846">EOMONTH(AO36,1)</f>
        <v>43585</v>
      </c>
      <c r="AQ36" s="248">
        <f t="shared" ref="AQ36" si="847">EOMONTH(AP36,1)</f>
        <v>43616</v>
      </c>
      <c r="AR36" s="248">
        <f t="shared" ref="AR36" si="848">EOMONTH(AQ36,1)</f>
        <v>43646</v>
      </c>
      <c r="AS36" s="248">
        <f t="shared" ref="AS36" si="849">EOMONTH(AR36,1)</f>
        <v>43677</v>
      </c>
      <c r="AT36" s="248">
        <f t="shared" ref="AT36" si="850">EOMONTH(AS36,1)</f>
        <v>43708</v>
      </c>
      <c r="AU36" s="248">
        <f t="shared" ref="AU36" si="851">EOMONTH(AT36,1)</f>
        <v>43738</v>
      </c>
      <c r="AV36" s="248">
        <f t="shared" ref="AV36" si="852">EOMONTH(AU36,1)</f>
        <v>43769</v>
      </c>
      <c r="AW36" s="248">
        <f t="shared" ref="AW36" si="853">EOMONTH(AV36,1)</f>
        <v>43799</v>
      </c>
      <c r="AX36" s="248">
        <f t="shared" ref="AX36" si="854">EOMONTH(AW36,1)</f>
        <v>43830</v>
      </c>
      <c r="AY36" s="248">
        <f t="shared" ref="AY36" si="855">EOMONTH(AX36,1)</f>
        <v>43861</v>
      </c>
      <c r="AZ36" s="248">
        <f t="shared" ref="AZ36" si="856">EOMONTH(AY36,1)</f>
        <v>43890</v>
      </c>
      <c r="BA36" s="248">
        <f t="shared" ref="BA36" si="857">EOMONTH(AZ36,1)</f>
        <v>43921</v>
      </c>
      <c r="BB36" s="248">
        <f t="shared" ref="BB36" si="858">EOMONTH(BA36,1)</f>
        <v>43951</v>
      </c>
      <c r="BC36" s="248">
        <f t="shared" ref="BC36" si="859">EOMONTH(BB36,1)</f>
        <v>43982</v>
      </c>
      <c r="BD36" s="248">
        <f t="shared" ref="BD36" si="860">EOMONTH(BC36,1)</f>
        <v>44012</v>
      </c>
      <c r="BE36" s="248">
        <f t="shared" ref="BE36" si="861">EOMONTH(BD36,1)</f>
        <v>44043</v>
      </c>
      <c r="BF36" s="248">
        <f t="shared" ref="BF36" si="862">EOMONTH(BE36,1)</f>
        <v>44074</v>
      </c>
      <c r="BG36" s="248">
        <f t="shared" ref="BG36" si="863">EOMONTH(BF36,1)</f>
        <v>44104</v>
      </c>
      <c r="BH36" s="248">
        <f t="shared" ref="BH36" si="864">EOMONTH(BG36,1)</f>
        <v>44135</v>
      </c>
      <c r="BI36" s="248">
        <f t="shared" ref="BI36" si="865">EOMONTH(BH36,1)</f>
        <v>44165</v>
      </c>
      <c r="BJ36" s="248">
        <f t="shared" ref="BJ36" si="866">EOMONTH(BI36,1)</f>
        <v>44196</v>
      </c>
      <c r="BK36" s="248">
        <f t="shared" ref="BK36" si="867">EOMONTH(BJ36,1)</f>
        <v>44227</v>
      </c>
      <c r="BL36" s="248">
        <f t="shared" ref="BL36" si="868">EOMONTH(BK36,1)</f>
        <v>44255</v>
      </c>
      <c r="BM36" s="248">
        <f t="shared" ref="BM36" si="869">EOMONTH(BL36,1)</f>
        <v>44286</v>
      </c>
      <c r="BN36" s="248">
        <f t="shared" ref="BN36" si="870">EOMONTH(BM36,1)</f>
        <v>44316</v>
      </c>
      <c r="BO36" s="248">
        <f t="shared" ref="BO36" si="871">EOMONTH(BN36,1)</f>
        <v>44347</v>
      </c>
      <c r="BP36" s="248">
        <f t="shared" ref="BP36" si="872">EOMONTH(BO36,1)</f>
        <v>44377</v>
      </c>
      <c r="BQ36" s="248">
        <f t="shared" ref="BQ36" si="873">EOMONTH(BP36,1)</f>
        <v>44408</v>
      </c>
      <c r="BR36" s="248">
        <f t="shared" ref="BR36" si="874">EOMONTH(BQ36,1)</f>
        <v>44439</v>
      </c>
      <c r="BS36" s="248">
        <f t="shared" ref="BS36" si="875">EOMONTH(BR36,1)</f>
        <v>44469</v>
      </c>
      <c r="BT36" s="248">
        <f t="shared" ref="BT36" si="876">EOMONTH(BS36,1)</f>
        <v>44500</v>
      </c>
      <c r="BU36" s="248">
        <f>EOMONTH(BT36,1)</f>
        <v>44530</v>
      </c>
      <c r="BV36" s="248">
        <f t="shared" ref="BV36:BW36" si="877">EOMONTH(BU36,1)</f>
        <v>44561</v>
      </c>
      <c r="BW36" s="248">
        <f t="shared" si="877"/>
        <v>44592</v>
      </c>
      <c r="BX36" s="248">
        <f t="shared" ref="BX36:BY36" si="878">EOMONTH(BW36,1)</f>
        <v>44620</v>
      </c>
      <c r="BY36" s="248">
        <f t="shared" si="878"/>
        <v>44651</v>
      </c>
      <c r="BZ36" s="248">
        <f t="shared" ref="BZ36:CA36" si="879">EOMONTH(BY36,1)</f>
        <v>44681</v>
      </c>
      <c r="CA36" s="248">
        <f t="shared" si="879"/>
        <v>44712</v>
      </c>
      <c r="CB36" s="248">
        <f t="shared" ref="CB36:CC36" si="880">EOMONTH(CA36,1)</f>
        <v>44742</v>
      </c>
      <c r="CC36" s="248">
        <f t="shared" si="880"/>
        <v>44773</v>
      </c>
      <c r="CD36" s="248">
        <f t="shared" ref="CD36" si="881">EOMONTH(CC36,1)</f>
        <v>44804</v>
      </c>
      <c r="CE36" s="248">
        <f t="shared" ref="CE36" si="882">EOMONTH(CD36,1)</f>
        <v>44834</v>
      </c>
      <c r="CF36" s="248">
        <f t="shared" ref="CF36" si="883">EOMONTH(CE36,1)</f>
        <v>44865</v>
      </c>
      <c r="CG36" s="248">
        <f t="shared" ref="CG36" si="884">EOMONTH(CF36,1)</f>
        <v>44895</v>
      </c>
      <c r="CH36" s="248">
        <f t="shared" ref="CH36" si="885">EOMONTH(CG36,1)</f>
        <v>44926</v>
      </c>
      <c r="CI36" s="248">
        <f t="shared" ref="CI36" si="886">EOMONTH(CH36,1)</f>
        <v>44957</v>
      </c>
      <c r="CJ36" s="248">
        <f t="shared" ref="CJ36" si="887">EOMONTH(CI36,1)</f>
        <v>44985</v>
      </c>
      <c r="CK36" s="248">
        <f t="shared" ref="CK36" si="888">EOMONTH(CJ36,1)</f>
        <v>45016</v>
      </c>
      <c r="CL36" s="248">
        <f t="shared" ref="CL36" si="889">EOMONTH(CK36,1)</f>
        <v>45046</v>
      </c>
      <c r="CM36" s="248">
        <f t="shared" ref="CM36" si="890">EOMONTH(CL36,1)</f>
        <v>45077</v>
      </c>
      <c r="CN36" s="248">
        <f t="shared" ref="CN36" si="891">EOMONTH(CM36,1)</f>
        <v>45107</v>
      </c>
      <c r="CO36" s="248">
        <f t="shared" ref="CO36" si="892">EOMONTH(CN36,1)</f>
        <v>45138</v>
      </c>
      <c r="CP36" s="248">
        <f t="shared" ref="CP36" si="893">EOMONTH(CO36,1)</f>
        <v>45169</v>
      </c>
      <c r="CQ36" s="248">
        <f t="shared" ref="CQ36" si="894">EOMONTH(CP36,1)</f>
        <v>45199</v>
      </c>
      <c r="CR36" s="248">
        <f t="shared" ref="CR36" si="895">EOMONTH(CQ36,1)</f>
        <v>45230</v>
      </c>
      <c r="CS36" s="248">
        <f t="shared" ref="CS36" si="896">EOMONTH(CR36,1)</f>
        <v>45260</v>
      </c>
      <c r="CT36" s="248">
        <f t="shared" ref="CT36" si="897">EOMONTH(CS36,1)</f>
        <v>45291</v>
      </c>
      <c r="CU36" s="248">
        <f t="shared" ref="CU36" si="898">EOMONTH(CT36,1)</f>
        <v>45322</v>
      </c>
      <c r="CV36" s="248">
        <f t="shared" ref="CV36" si="899">EOMONTH(CU36,1)</f>
        <v>45351</v>
      </c>
      <c r="CW36" s="248">
        <f t="shared" ref="CW36" si="900">EOMONTH(CV36,1)</f>
        <v>45382</v>
      </c>
      <c r="CX36" s="248">
        <f t="shared" ref="CX36" si="901">EOMONTH(CW36,1)</f>
        <v>45412</v>
      </c>
      <c r="CY36" s="248">
        <f t="shared" ref="CY36" si="902">EOMONTH(CX36,1)</f>
        <v>45443</v>
      </c>
      <c r="CZ36" s="248">
        <f t="shared" ref="CZ36" si="903">EOMONTH(CY36,1)</f>
        <v>45473</v>
      </c>
      <c r="DA36" s="248">
        <f t="shared" ref="DA36" si="904">EOMONTH(CZ36,1)</f>
        <v>45504</v>
      </c>
      <c r="DB36" s="248">
        <f t="shared" ref="DB36" si="905">EOMONTH(DA36,1)</f>
        <v>45535</v>
      </c>
      <c r="DC36" s="248">
        <f t="shared" ref="DC36" si="906">EOMONTH(DB36,1)</f>
        <v>45565</v>
      </c>
      <c r="DD36" s="248">
        <f t="shared" ref="DD36" si="907">EOMONTH(DC36,1)</f>
        <v>45596</v>
      </c>
      <c r="DE36" s="248">
        <f t="shared" ref="DE36" si="908">EOMONTH(DD36,1)</f>
        <v>45626</v>
      </c>
      <c r="DF36" s="248">
        <f t="shared" ref="DF36" si="909">EOMONTH(DE36,1)</f>
        <v>45657</v>
      </c>
      <c r="DG36" s="248">
        <f t="shared" ref="DG36" si="910">EOMONTH(DF36,1)</f>
        <v>45688</v>
      </c>
      <c r="DH36" s="248">
        <f t="shared" ref="DH36" si="911">EOMONTH(DG36,1)</f>
        <v>45716</v>
      </c>
      <c r="DI36" s="248">
        <f t="shared" ref="DI36" si="912">EOMONTH(DH36,1)</f>
        <v>45747</v>
      </c>
      <c r="DJ36" s="248">
        <f t="shared" ref="DJ36" si="913">EOMONTH(DI36,1)</f>
        <v>45777</v>
      </c>
      <c r="DK36" s="248">
        <f t="shared" ref="DK36" si="914">EOMONTH(DJ36,1)</f>
        <v>45808</v>
      </c>
      <c r="DL36" s="248">
        <f t="shared" ref="DL36" si="915">EOMONTH(DK36,1)</f>
        <v>45838</v>
      </c>
      <c r="DM36" s="248">
        <f t="shared" ref="DM36" si="916">EOMONTH(DL36,1)</f>
        <v>45869</v>
      </c>
      <c r="DN36" s="248">
        <f t="shared" ref="DN36" si="917">EOMONTH(DM36,1)</f>
        <v>45900</v>
      </c>
      <c r="DO36" s="248">
        <f t="shared" ref="DO36" si="918">EOMONTH(DN36,1)</f>
        <v>45930</v>
      </c>
      <c r="DP36" s="248">
        <f t="shared" ref="DP36" si="919">EOMONTH(DO36,1)</f>
        <v>45961</v>
      </c>
      <c r="DQ36" s="248">
        <f t="shared" ref="DQ36" si="920">EOMONTH(DP36,1)</f>
        <v>45991</v>
      </c>
      <c r="DR36" s="248">
        <f t="shared" ref="DR36" si="921">EOMONTH(DQ36,1)</f>
        <v>46022</v>
      </c>
      <c r="DS36" s="248">
        <f t="shared" ref="DS36" si="922">EOMONTH(DR36,1)</f>
        <v>46053</v>
      </c>
      <c r="DT36" s="248">
        <f t="shared" ref="DT36:DU36" si="923">EOMONTH(DS36,1)</f>
        <v>46081</v>
      </c>
      <c r="DU36" s="248">
        <f t="shared" si="923"/>
        <v>46112</v>
      </c>
    </row>
    <row r="37" spans="1:125">
      <c r="B37" s="399" t="s">
        <v>208</v>
      </c>
      <c r="C37" s="124"/>
      <c r="D37" s="124"/>
      <c r="E37" s="124">
        <v>29249</v>
      </c>
      <c r="F37" s="124"/>
      <c r="G37" s="124"/>
      <c r="H37" s="124">
        <v>32689</v>
      </c>
      <c r="I37" s="124"/>
      <c r="J37" s="124"/>
      <c r="K37" s="124">
        <v>37063</v>
      </c>
      <c r="L37" s="124"/>
      <c r="M37" s="124"/>
      <c r="N37" s="124">
        <v>29460</v>
      </c>
      <c r="O37" s="124">
        <v>0</v>
      </c>
      <c r="P37" s="124">
        <v>0</v>
      </c>
      <c r="Q37" s="125">
        <v>29249</v>
      </c>
      <c r="R37" s="124">
        <v>0</v>
      </c>
      <c r="S37" s="124">
        <v>0</v>
      </c>
      <c r="T37" s="124">
        <v>32689</v>
      </c>
      <c r="U37" s="124">
        <v>0</v>
      </c>
      <c r="V37" s="124">
        <v>0</v>
      </c>
      <c r="W37" s="124">
        <v>37063</v>
      </c>
      <c r="X37" s="124">
        <v>0</v>
      </c>
      <c r="Y37" s="124">
        <v>0</v>
      </c>
      <c r="Z37" s="124">
        <v>39709</v>
      </c>
      <c r="AA37" s="124">
        <v>0</v>
      </c>
      <c r="AB37" s="124">
        <v>0</v>
      </c>
      <c r="AC37" s="124">
        <v>45321</v>
      </c>
      <c r="AD37" s="124">
        <v>0</v>
      </c>
      <c r="AE37" s="124">
        <v>0</v>
      </c>
      <c r="AF37" s="124">
        <v>46855</v>
      </c>
      <c r="AG37" s="124">
        <v>0</v>
      </c>
      <c r="AH37" s="124">
        <v>0</v>
      </c>
      <c r="AI37" s="124">
        <v>53647</v>
      </c>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v>75910</v>
      </c>
      <c r="BO37" s="124">
        <v>75910</v>
      </c>
      <c r="BP37" s="124">
        <v>75910</v>
      </c>
      <c r="BQ37" s="124">
        <f t="shared" ref="BQ37:BR37" si="924">44174+43338</f>
        <v>87512</v>
      </c>
      <c r="BR37" s="124">
        <f t="shared" si="924"/>
        <v>87512</v>
      </c>
      <c r="BS37" s="124">
        <f>44174+43338</f>
        <v>87512</v>
      </c>
      <c r="BT37" s="124">
        <v>91845</v>
      </c>
      <c r="BU37" s="124">
        <v>91845</v>
      </c>
      <c r="BV37" s="124">
        <v>91845</v>
      </c>
      <c r="BW37" s="124">
        <f>BY37</f>
        <v>93270</v>
      </c>
      <c r="BX37" s="124">
        <f>BY37</f>
        <v>93270</v>
      </c>
      <c r="BY37" s="124">
        <f>59079+34191</f>
        <v>93270</v>
      </c>
      <c r="BZ37" s="124">
        <f>CB37</f>
        <v>89984</v>
      </c>
      <c r="CA37" s="124">
        <f>CB37</f>
        <v>89984</v>
      </c>
      <c r="CB37" s="124">
        <f>61893+28091</f>
        <v>89984</v>
      </c>
      <c r="CC37" s="124">
        <f t="shared" ref="CC37:CD37" si="925">60627+15826</f>
        <v>76453</v>
      </c>
      <c r="CD37" s="124">
        <f t="shared" si="925"/>
        <v>76453</v>
      </c>
      <c r="CE37" s="124">
        <f>60627+15826</f>
        <v>76453</v>
      </c>
      <c r="CF37" s="124">
        <f>CH37</f>
        <v>71904</v>
      </c>
      <c r="CG37" s="124">
        <f>CH37</f>
        <v>71904</v>
      </c>
      <c r="CH37" s="124">
        <v>71904</v>
      </c>
      <c r="CI37" s="124">
        <v>69724</v>
      </c>
      <c r="CJ37" s="124">
        <v>69724</v>
      </c>
      <c r="CK37" s="124">
        <v>69724</v>
      </c>
      <c r="CL37" s="124">
        <v>69226</v>
      </c>
      <c r="CM37" s="124">
        <f>CL37</f>
        <v>69226</v>
      </c>
      <c r="CN37" s="124">
        <f>CM37</f>
        <v>69226</v>
      </c>
      <c r="CO37" s="124">
        <v>72109</v>
      </c>
      <c r="CP37" s="124">
        <v>72109</v>
      </c>
      <c r="CQ37" s="124">
        <v>72109</v>
      </c>
      <c r="CR37" s="124">
        <v>71081</v>
      </c>
      <c r="CS37" s="124">
        <v>71081</v>
      </c>
      <c r="CT37" s="124">
        <v>71081</v>
      </c>
      <c r="CU37" s="124">
        <v>70145</v>
      </c>
      <c r="CV37" s="124">
        <f>CU37</f>
        <v>70145</v>
      </c>
      <c r="CW37" s="124">
        <f>CV37</f>
        <v>70145</v>
      </c>
      <c r="CX37" s="124">
        <v>69904</v>
      </c>
      <c r="CY37" s="124">
        <f>CX37</f>
        <v>69904</v>
      </c>
      <c r="CZ37" s="124">
        <f>CY37</f>
        <v>69904</v>
      </c>
      <c r="DA37" s="124">
        <v>68564</v>
      </c>
      <c r="DB37" s="124">
        <v>68564</v>
      </c>
      <c r="DC37" s="124">
        <v>68564</v>
      </c>
      <c r="DD37" s="124">
        <v>70899</v>
      </c>
      <c r="DE37" s="124">
        <v>70899</v>
      </c>
      <c r="DF37" s="124">
        <v>70899</v>
      </c>
      <c r="DG37" s="124">
        <v>67792</v>
      </c>
      <c r="DH37" s="124">
        <v>67792</v>
      </c>
      <c r="DI37" s="124">
        <v>67792</v>
      </c>
      <c r="DJ37" s="124">
        <v>64756</v>
      </c>
      <c r="DK37" s="124">
        <v>64756</v>
      </c>
      <c r="DL37" s="124">
        <v>64756</v>
      </c>
      <c r="DM37" s="124">
        <v>64756</v>
      </c>
      <c r="DN37" s="124">
        <v>64756</v>
      </c>
      <c r="DO37" s="124">
        <v>64756</v>
      </c>
      <c r="DP37" s="124">
        <v>60842</v>
      </c>
      <c r="DQ37" s="124">
        <f>DP37</f>
        <v>60842</v>
      </c>
      <c r="DR37" s="124">
        <f>DQ37</f>
        <v>60842</v>
      </c>
      <c r="DS37" s="124">
        <v>59028</v>
      </c>
      <c r="DT37" s="124">
        <v>59028</v>
      </c>
      <c r="DU37" s="124">
        <v>59028</v>
      </c>
    </row>
    <row r="38" spans="1:125">
      <c r="B38" s="131" t="s">
        <v>209</v>
      </c>
      <c r="C38" s="88" t="e">
        <f>C37/C4</f>
        <v>#DIV/0!</v>
      </c>
      <c r="D38" s="88" t="e">
        <f t="shared" ref="D38:M38" si="926">D37/D4</f>
        <v>#DIV/0!</v>
      </c>
      <c r="E38" s="88" t="e">
        <f t="shared" si="926"/>
        <v>#DIV/0!</v>
      </c>
      <c r="F38" s="88" t="e">
        <f t="shared" si="926"/>
        <v>#DIV/0!</v>
      </c>
      <c r="G38" s="88" t="e">
        <f t="shared" si="926"/>
        <v>#DIV/0!</v>
      </c>
      <c r="H38" s="88" t="e">
        <f t="shared" si="926"/>
        <v>#DIV/0!</v>
      </c>
      <c r="I38" s="88" t="e">
        <f t="shared" si="926"/>
        <v>#DIV/0!</v>
      </c>
      <c r="J38" s="88" t="e">
        <f t="shared" si="926"/>
        <v>#DIV/0!</v>
      </c>
      <c r="K38" s="88" t="e">
        <f t="shared" si="926"/>
        <v>#DIV/0!</v>
      </c>
      <c r="L38" s="88" t="e">
        <f t="shared" si="926"/>
        <v>#DIV/0!</v>
      </c>
      <c r="M38" s="88" t="e">
        <f t="shared" si="926"/>
        <v>#DIV/0!</v>
      </c>
      <c r="N38" s="88" t="e">
        <f>N37/N4</f>
        <v>#DIV/0!</v>
      </c>
      <c r="O38" s="88" t="e">
        <f t="shared" ref="O38:BZ38" si="927">O37/O4</f>
        <v>#DIV/0!</v>
      </c>
      <c r="P38" s="88" t="e">
        <f t="shared" si="927"/>
        <v>#DIV/0!</v>
      </c>
      <c r="Q38" s="88" t="e">
        <f t="shared" si="927"/>
        <v>#DIV/0!</v>
      </c>
      <c r="R38" s="88" t="e">
        <f t="shared" si="927"/>
        <v>#DIV/0!</v>
      </c>
      <c r="S38" s="88" t="e">
        <f t="shared" si="927"/>
        <v>#DIV/0!</v>
      </c>
      <c r="T38" s="88" t="e">
        <f t="shared" si="927"/>
        <v>#DIV/0!</v>
      </c>
      <c r="U38" s="88" t="e">
        <f t="shared" si="927"/>
        <v>#DIV/0!</v>
      </c>
      <c r="V38" s="88" t="e">
        <f t="shared" si="927"/>
        <v>#DIV/0!</v>
      </c>
      <c r="W38" s="88" t="e">
        <f t="shared" si="927"/>
        <v>#DIV/0!</v>
      </c>
      <c r="X38" s="88" t="e">
        <f t="shared" si="927"/>
        <v>#DIV/0!</v>
      </c>
      <c r="Y38" s="88" t="e">
        <f t="shared" si="927"/>
        <v>#DIV/0!</v>
      </c>
      <c r="Z38" s="88" t="e">
        <f t="shared" si="927"/>
        <v>#DIV/0!</v>
      </c>
      <c r="AA38" s="88" t="e">
        <f t="shared" si="927"/>
        <v>#DIV/0!</v>
      </c>
      <c r="AB38" s="88" t="e">
        <f t="shared" si="927"/>
        <v>#DIV/0!</v>
      </c>
      <c r="AC38" s="88" t="e">
        <f t="shared" si="927"/>
        <v>#DIV/0!</v>
      </c>
      <c r="AD38" s="88" t="e">
        <f t="shared" si="927"/>
        <v>#DIV/0!</v>
      </c>
      <c r="AE38" s="88" t="e">
        <f t="shared" si="927"/>
        <v>#DIV/0!</v>
      </c>
      <c r="AF38" s="88" t="e">
        <f t="shared" si="927"/>
        <v>#DIV/0!</v>
      </c>
      <c r="AG38" s="88" t="e">
        <f t="shared" si="927"/>
        <v>#DIV/0!</v>
      </c>
      <c r="AH38" s="88" t="e">
        <f t="shared" si="927"/>
        <v>#DIV/0!</v>
      </c>
      <c r="AI38" s="88" t="e">
        <f t="shared" si="927"/>
        <v>#DIV/0!</v>
      </c>
      <c r="AJ38" s="88" t="e">
        <f t="shared" si="927"/>
        <v>#DIV/0!</v>
      </c>
      <c r="AK38" s="88" t="e">
        <f t="shared" si="927"/>
        <v>#DIV/0!</v>
      </c>
      <c r="AL38" s="88" t="e">
        <f t="shared" si="927"/>
        <v>#DIV/0!</v>
      </c>
      <c r="AM38" s="88" t="e">
        <f t="shared" si="927"/>
        <v>#DIV/0!</v>
      </c>
      <c r="AN38" s="88" t="e">
        <f t="shared" si="927"/>
        <v>#DIV/0!</v>
      </c>
      <c r="AO38" s="88" t="e">
        <f t="shared" si="927"/>
        <v>#DIV/0!</v>
      </c>
      <c r="AP38" s="88" t="e">
        <f t="shared" si="927"/>
        <v>#DIV/0!</v>
      </c>
      <c r="AQ38" s="88" t="e">
        <f t="shared" si="927"/>
        <v>#DIV/0!</v>
      </c>
      <c r="AR38" s="88" t="e">
        <f t="shared" si="927"/>
        <v>#DIV/0!</v>
      </c>
      <c r="AS38" s="88" t="e">
        <f t="shared" si="927"/>
        <v>#DIV/0!</v>
      </c>
      <c r="AT38" s="88" t="e">
        <f t="shared" si="927"/>
        <v>#DIV/0!</v>
      </c>
      <c r="AU38" s="88" t="e">
        <f t="shared" si="927"/>
        <v>#DIV/0!</v>
      </c>
      <c r="AV38" s="88" t="e">
        <f t="shared" si="927"/>
        <v>#DIV/0!</v>
      </c>
      <c r="AW38" s="88" t="e">
        <f t="shared" si="927"/>
        <v>#DIV/0!</v>
      </c>
      <c r="AX38" s="88" t="e">
        <f t="shared" si="927"/>
        <v>#DIV/0!</v>
      </c>
      <c r="AY38" s="88" t="e">
        <f t="shared" si="927"/>
        <v>#DIV/0!</v>
      </c>
      <c r="AZ38" s="88" t="e">
        <f t="shared" si="927"/>
        <v>#DIV/0!</v>
      </c>
      <c r="BA38" s="88" t="e">
        <f t="shared" si="927"/>
        <v>#DIV/0!</v>
      </c>
      <c r="BB38" s="88" t="e">
        <f t="shared" si="927"/>
        <v>#DIV/0!</v>
      </c>
      <c r="BC38" s="88" t="e">
        <f t="shared" si="927"/>
        <v>#DIV/0!</v>
      </c>
      <c r="BD38" s="88" t="e">
        <f t="shared" si="927"/>
        <v>#DIV/0!</v>
      </c>
      <c r="BE38" s="88" t="e">
        <f t="shared" si="927"/>
        <v>#DIV/0!</v>
      </c>
      <c r="BF38" s="88" t="e">
        <f t="shared" si="927"/>
        <v>#DIV/0!</v>
      </c>
      <c r="BG38" s="88" t="e">
        <f t="shared" si="927"/>
        <v>#DIV/0!</v>
      </c>
      <c r="BH38" s="88" t="e">
        <f t="shared" si="927"/>
        <v>#DIV/0!</v>
      </c>
      <c r="BI38" s="88" t="e">
        <f t="shared" si="927"/>
        <v>#DIV/0!</v>
      </c>
      <c r="BJ38" s="88" t="e">
        <f t="shared" si="927"/>
        <v>#DIV/0!</v>
      </c>
      <c r="BK38" s="88">
        <f t="shared" si="927"/>
        <v>0</v>
      </c>
      <c r="BL38" s="88">
        <f t="shared" si="927"/>
        <v>0</v>
      </c>
      <c r="BM38" s="88">
        <f t="shared" si="927"/>
        <v>0</v>
      </c>
      <c r="BN38" s="88">
        <f t="shared" si="927"/>
        <v>112.45925925925926</v>
      </c>
      <c r="BO38" s="88">
        <f t="shared" si="927"/>
        <v>112.45925925925926</v>
      </c>
      <c r="BP38" s="88">
        <f t="shared" si="927"/>
        <v>112.45925925925926</v>
      </c>
      <c r="BQ38" s="88">
        <f t="shared" si="927"/>
        <v>332.32405063291139</v>
      </c>
      <c r="BR38" s="88">
        <f t="shared" si="927"/>
        <v>332.32405063291139</v>
      </c>
      <c r="BS38" s="88">
        <f t="shared" si="927"/>
        <v>332.32405063291139</v>
      </c>
      <c r="BT38" s="88">
        <f t="shared" si="927"/>
        <v>185.04701141705831</v>
      </c>
      <c r="BU38" s="88">
        <f t="shared" si="927"/>
        <v>185.04701141705831</v>
      </c>
      <c r="BV38" s="88">
        <f t="shared" si="927"/>
        <v>185.04701141705831</v>
      </c>
      <c r="BW38" s="88">
        <f t="shared" si="927"/>
        <v>141.81956411556007</v>
      </c>
      <c r="BX38" s="88">
        <f t="shared" si="927"/>
        <v>141.81956411556007</v>
      </c>
      <c r="BY38" s="88">
        <f t="shared" si="927"/>
        <v>141.81956411556007</v>
      </c>
      <c r="BZ38" s="88">
        <f t="shared" si="927"/>
        <v>312.44444444444446</v>
      </c>
      <c r="CA38" s="88">
        <f t="shared" ref="CA38:CD38" si="928">CA37/CA4</f>
        <v>312.44444444444446</v>
      </c>
      <c r="CB38" s="88">
        <f t="shared" si="928"/>
        <v>312.44444444444446</v>
      </c>
      <c r="CC38" s="88">
        <f t="shared" si="928"/>
        <v>149.322265625</v>
      </c>
      <c r="CD38" s="88">
        <f t="shared" si="928"/>
        <v>149.322265625</v>
      </c>
      <c r="CE38" s="88">
        <f t="shared" ref="CE38:CX38" si="929">CE37/CE4</f>
        <v>149.322265625</v>
      </c>
      <c r="CF38" s="88">
        <f t="shared" si="929"/>
        <v>241.01899441340782</v>
      </c>
      <c r="CG38" s="88">
        <f t="shared" si="929"/>
        <v>241.01899441340782</v>
      </c>
      <c r="CH38" s="88">
        <f t="shared" si="929"/>
        <v>241.01899441340782</v>
      </c>
      <c r="CI38" s="88">
        <f t="shared" si="929"/>
        <v>94.264082920234344</v>
      </c>
      <c r="CJ38" s="88">
        <f t="shared" si="929"/>
        <v>94.264082920234344</v>
      </c>
      <c r="CK38" s="88">
        <f t="shared" si="929"/>
        <v>94.264082920234344</v>
      </c>
      <c r="CL38" s="88">
        <f t="shared" si="929"/>
        <v>107.21631388745483</v>
      </c>
      <c r="CM38" s="88">
        <f t="shared" si="929"/>
        <v>107.21631388745483</v>
      </c>
      <c r="CN38" s="88">
        <f t="shared" si="929"/>
        <v>107.21631388745483</v>
      </c>
      <c r="CO38" s="88">
        <f t="shared" si="929"/>
        <v>148.16917808219176</v>
      </c>
      <c r="CP38" s="88">
        <f t="shared" si="929"/>
        <v>148.16917808219176</v>
      </c>
      <c r="CQ38" s="88">
        <f t="shared" si="929"/>
        <v>148.16917808219176</v>
      </c>
      <c r="CR38" s="88">
        <f t="shared" si="929"/>
        <v>213.02997002997003</v>
      </c>
      <c r="CS38" s="88">
        <f t="shared" si="929"/>
        <v>213.02997002997003</v>
      </c>
      <c r="CT38" s="88">
        <f t="shared" si="929"/>
        <v>213.02997002997003</v>
      </c>
      <c r="CU38" s="88">
        <f t="shared" si="929"/>
        <v>115.11761487964988</v>
      </c>
      <c r="CV38" s="88">
        <f t="shared" si="929"/>
        <v>115.11761487964988</v>
      </c>
      <c r="CW38" s="88">
        <f t="shared" si="929"/>
        <v>115.11761487964988</v>
      </c>
      <c r="CX38" s="88">
        <f t="shared" si="929"/>
        <v>122.42381786339755</v>
      </c>
      <c r="CY38" s="88">
        <f t="shared" ref="CY38:DT38" si="930">CY37/CY4</f>
        <v>122.42381786339755</v>
      </c>
      <c r="CZ38" s="88">
        <f t="shared" si="930"/>
        <v>122.42381786339755</v>
      </c>
      <c r="DA38" s="88">
        <f t="shared" si="930"/>
        <v>141.6611570247934</v>
      </c>
      <c r="DB38" s="88">
        <f t="shared" si="930"/>
        <v>141.6611570247934</v>
      </c>
      <c r="DC38" s="88">
        <f t="shared" si="930"/>
        <v>141.6611570247934</v>
      </c>
      <c r="DD38" s="88">
        <f t="shared" si="930"/>
        <v>130.08990825688073</v>
      </c>
      <c r="DE38" s="88">
        <f t="shared" si="930"/>
        <v>130.08990825688073</v>
      </c>
      <c r="DF38" s="88">
        <f t="shared" si="930"/>
        <v>129.85164835164835</v>
      </c>
      <c r="DG38" s="88">
        <f t="shared" si="930"/>
        <v>141.52818371607515</v>
      </c>
      <c r="DH38" s="88">
        <f t="shared" si="930"/>
        <v>141.52818371607515</v>
      </c>
      <c r="DI38" s="88">
        <f t="shared" si="930"/>
        <v>141.52818371607515</v>
      </c>
      <c r="DJ38" s="88">
        <f t="shared" si="930"/>
        <v>178.06416131988999</v>
      </c>
      <c r="DK38" s="88">
        <f t="shared" si="930"/>
        <v>177.90109890109889</v>
      </c>
      <c r="DL38" s="88">
        <f t="shared" si="930"/>
        <v>177.90109890109889</v>
      </c>
      <c r="DM38" s="88">
        <f t="shared" si="930"/>
        <v>123.81644359464627</v>
      </c>
      <c r="DN38" s="88">
        <f t="shared" si="930"/>
        <v>123.81644359464627</v>
      </c>
      <c r="DO38" s="88">
        <f t="shared" si="930"/>
        <v>123.81644359464627</v>
      </c>
      <c r="DP38" s="88">
        <f t="shared" si="930"/>
        <v>116.33269598470363</v>
      </c>
      <c r="DQ38" s="88">
        <f t="shared" si="930"/>
        <v>116.33269598470363</v>
      </c>
      <c r="DR38" s="88">
        <f t="shared" si="930"/>
        <v>116.33269598470363</v>
      </c>
      <c r="DS38" s="88">
        <f t="shared" si="930"/>
        <v>201.00340522133936</v>
      </c>
      <c r="DT38" s="88">
        <f t="shared" si="930"/>
        <v>201.00340522133936</v>
      </c>
      <c r="DU38" s="88">
        <f t="shared" ref="DU38" si="931">DU37/DU4</f>
        <v>201.00340522133936</v>
      </c>
    </row>
    <row r="39" spans="1:125">
      <c r="B39" s="251"/>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row>
    <row r="40" spans="1:125">
      <c r="B40" s="251"/>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row>
    <row r="41" spans="1:125">
      <c r="B41" s="251"/>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row>
    <row r="43" spans="1:125">
      <c r="A43" s="252"/>
      <c r="B43" s="367" t="s">
        <v>210</v>
      </c>
      <c r="C43" s="367"/>
      <c r="D43" s="367"/>
      <c r="E43" s="367"/>
      <c r="F43" s="367"/>
      <c r="G43" s="367"/>
      <c r="H43" s="367"/>
      <c r="I43" s="367"/>
      <c r="J43" s="367"/>
      <c r="K43" s="367"/>
      <c r="L43" s="367"/>
      <c r="M43" s="367"/>
      <c r="N43" s="367"/>
      <c r="O43" s="367"/>
      <c r="P43" s="367"/>
      <c r="Q43" s="367"/>
      <c r="R43" s="367"/>
      <c r="S43" s="367"/>
      <c r="T43" s="367"/>
      <c r="U43" s="367"/>
      <c r="V43" s="367"/>
      <c r="W43" s="367"/>
      <c r="X43" s="367"/>
      <c r="Y43" s="367"/>
      <c r="Z43" s="367"/>
      <c r="AA43" s="367"/>
      <c r="AB43" s="367"/>
      <c r="AC43" s="367"/>
      <c r="AD43" s="367"/>
      <c r="AE43" s="367"/>
      <c r="AF43" s="367"/>
      <c r="AG43" s="367"/>
      <c r="AH43" s="367"/>
      <c r="AI43" s="367"/>
      <c r="AJ43" s="367"/>
      <c r="AK43" s="367"/>
      <c r="AL43" s="367"/>
      <c r="AM43" s="367"/>
      <c r="AN43" s="367"/>
      <c r="AO43" s="367"/>
      <c r="AP43" s="367"/>
      <c r="AQ43" s="367"/>
      <c r="AR43" s="367"/>
      <c r="AS43" s="367"/>
      <c r="AT43" s="367"/>
      <c r="AU43" s="367"/>
      <c r="AV43" s="367"/>
      <c r="AW43" s="367"/>
      <c r="AX43" s="367"/>
      <c r="AY43" s="367"/>
      <c r="AZ43" s="367"/>
      <c r="BA43" s="367"/>
      <c r="BB43" s="367"/>
      <c r="BC43" s="367"/>
      <c r="BD43" s="367"/>
      <c r="BE43" s="367"/>
      <c r="BF43" s="367"/>
      <c r="BG43" s="367"/>
      <c r="BH43" s="367"/>
      <c r="BI43" s="367"/>
      <c r="BJ43" s="367"/>
      <c r="BK43" s="367"/>
      <c r="BL43" s="367"/>
      <c r="BM43" s="367"/>
      <c r="BN43" s="367"/>
      <c r="BO43" s="367"/>
      <c r="BP43" s="367"/>
      <c r="BQ43" s="367"/>
      <c r="BR43" s="367"/>
      <c r="BS43" s="367"/>
      <c r="BT43" s="367"/>
      <c r="BU43" s="367"/>
      <c r="BV43" s="367"/>
      <c r="BW43" s="367"/>
      <c r="BX43" s="367"/>
      <c r="BY43" s="367"/>
      <c r="BZ43" s="367"/>
      <c r="CA43" s="367"/>
      <c r="CB43" s="367"/>
      <c r="CC43" s="367"/>
      <c r="CD43" s="367"/>
      <c r="CE43" s="367"/>
      <c r="CF43" s="367"/>
      <c r="CG43" s="367"/>
      <c r="CH43" s="367"/>
      <c r="CI43" s="367"/>
      <c r="CJ43" s="367"/>
      <c r="CK43" s="367"/>
      <c r="CL43" s="367"/>
      <c r="CM43" s="367"/>
      <c r="CN43" s="367"/>
      <c r="CO43" s="367"/>
      <c r="CP43" s="367"/>
      <c r="CQ43" s="367"/>
      <c r="CR43" s="367"/>
      <c r="CS43" s="367"/>
      <c r="CT43" s="367"/>
      <c r="CU43" s="367"/>
      <c r="CV43" s="367"/>
      <c r="CW43" s="367"/>
      <c r="CX43" s="367"/>
      <c r="CY43" s="367"/>
      <c r="CZ43" s="367"/>
      <c r="DA43" s="367"/>
      <c r="DB43" s="367"/>
      <c r="DC43" s="367"/>
      <c r="DD43" s="367"/>
      <c r="DE43" s="367"/>
      <c r="DF43" s="367"/>
      <c r="DG43" s="367"/>
      <c r="DH43" s="367"/>
      <c r="DI43" s="367"/>
      <c r="DJ43" s="367"/>
      <c r="DK43" s="367"/>
      <c r="DL43" s="367"/>
      <c r="DM43" s="367"/>
      <c r="DN43" s="367"/>
      <c r="DO43" s="367"/>
      <c r="DP43" s="367"/>
      <c r="DQ43" s="367"/>
      <c r="DR43" s="367"/>
      <c r="DS43" s="367"/>
      <c r="DT43" s="367"/>
      <c r="DU43" s="367"/>
    </row>
    <row r="44" spans="1:125" outlineLevel="1">
      <c r="B44" s="368" t="s">
        <v>211</v>
      </c>
      <c r="C44" s="368"/>
      <c r="D44" s="368"/>
      <c r="E44" s="368"/>
      <c r="F44" s="368"/>
      <c r="G44" s="368"/>
      <c r="H44" s="368"/>
      <c r="I44" s="368"/>
      <c r="J44" s="368"/>
      <c r="K44" s="368"/>
      <c r="L44" s="368"/>
      <c r="M44" s="368"/>
      <c r="N44" s="368"/>
      <c r="O44" s="535">
        <v>1</v>
      </c>
      <c r="P44" s="368">
        <f>O44+1</f>
        <v>2</v>
      </c>
      <c r="Q44" s="368">
        <f t="shared" ref="Q44:AE44" si="932">P44+1</f>
        <v>3</v>
      </c>
      <c r="R44" s="368">
        <f t="shared" si="932"/>
        <v>4</v>
      </c>
      <c r="S44" s="368">
        <f t="shared" si="932"/>
        <v>5</v>
      </c>
      <c r="T44" s="368">
        <f t="shared" si="932"/>
        <v>6</v>
      </c>
      <c r="U44" s="368">
        <f t="shared" si="932"/>
        <v>7</v>
      </c>
      <c r="V44" s="368">
        <f t="shared" si="932"/>
        <v>8</v>
      </c>
      <c r="W44" s="368">
        <f t="shared" si="932"/>
        <v>9</v>
      </c>
      <c r="X44" s="368">
        <f t="shared" si="932"/>
        <v>10</v>
      </c>
      <c r="Y44" s="368">
        <f t="shared" si="932"/>
        <v>11</v>
      </c>
      <c r="Z44" s="368">
        <f t="shared" si="932"/>
        <v>12</v>
      </c>
      <c r="AA44" s="368">
        <f t="shared" si="932"/>
        <v>13</v>
      </c>
      <c r="AB44" s="368">
        <f t="shared" si="932"/>
        <v>14</v>
      </c>
      <c r="AC44" s="368">
        <f t="shared" si="932"/>
        <v>15</v>
      </c>
      <c r="AD44" s="368">
        <f t="shared" si="932"/>
        <v>16</v>
      </c>
      <c r="AE44" s="368">
        <f t="shared" si="932"/>
        <v>17</v>
      </c>
      <c r="AF44" s="368">
        <f t="shared" ref="AF44" si="933">AE44+1</f>
        <v>18</v>
      </c>
      <c r="AG44" s="368">
        <f t="shared" ref="AG44" si="934">AF44+1</f>
        <v>19</v>
      </c>
      <c r="AH44" s="368">
        <f t="shared" ref="AH44" si="935">AG44+1</f>
        <v>20</v>
      </c>
      <c r="AI44" s="368">
        <f t="shared" ref="AI44" si="936">AH44+1</f>
        <v>21</v>
      </c>
      <c r="AJ44" s="368">
        <f t="shared" ref="AJ44" si="937">AI44+1</f>
        <v>22</v>
      </c>
      <c r="AK44" s="368">
        <f t="shared" ref="AK44" si="938">AJ44+1</f>
        <v>23</v>
      </c>
      <c r="AL44" s="368">
        <f t="shared" ref="AL44" si="939">AK44+1</f>
        <v>24</v>
      </c>
      <c r="AM44" s="368">
        <f t="shared" ref="AM44" si="940">AL44+1</f>
        <v>25</v>
      </c>
      <c r="AN44" s="368">
        <f t="shared" ref="AN44" si="941">AM44+1</f>
        <v>26</v>
      </c>
      <c r="AO44" s="368">
        <f t="shared" ref="AO44" si="942">AN44+1</f>
        <v>27</v>
      </c>
      <c r="AP44" s="368">
        <f t="shared" ref="AP44" si="943">AO44+1</f>
        <v>28</v>
      </c>
      <c r="AQ44" s="368">
        <f t="shared" ref="AQ44" si="944">AP44+1</f>
        <v>29</v>
      </c>
      <c r="AR44" s="368">
        <f t="shared" ref="AR44" si="945">AQ44+1</f>
        <v>30</v>
      </c>
      <c r="AS44" s="368">
        <f t="shared" ref="AS44" si="946">AR44+1</f>
        <v>31</v>
      </c>
      <c r="AT44" s="368">
        <f t="shared" ref="AT44" si="947">AS44+1</f>
        <v>32</v>
      </c>
      <c r="AU44" s="368">
        <f t="shared" ref="AU44" si="948">AT44+1</f>
        <v>33</v>
      </c>
      <c r="AV44" s="368">
        <f t="shared" ref="AV44" si="949">AU44+1</f>
        <v>34</v>
      </c>
      <c r="AW44" s="368">
        <f t="shared" ref="AW44" si="950">AV44+1</f>
        <v>35</v>
      </c>
      <c r="AX44" s="368">
        <f t="shared" ref="AX44" si="951">AW44+1</f>
        <v>36</v>
      </c>
      <c r="AY44" s="368">
        <f t="shared" ref="AY44" si="952">AX44+1</f>
        <v>37</v>
      </c>
      <c r="AZ44" s="368">
        <f t="shared" ref="AZ44" si="953">AY44+1</f>
        <v>38</v>
      </c>
      <c r="BA44" s="368">
        <f t="shared" ref="BA44" si="954">AZ44+1</f>
        <v>39</v>
      </c>
      <c r="BB44" s="368">
        <f t="shared" ref="BB44" si="955">BA44+1</f>
        <v>40</v>
      </c>
      <c r="BC44" s="368">
        <f t="shared" ref="BC44" si="956">BB44+1</f>
        <v>41</v>
      </c>
      <c r="BD44" s="368">
        <f t="shared" ref="BD44" si="957">BC44+1</f>
        <v>42</v>
      </c>
      <c r="BE44" s="368">
        <f t="shared" ref="BE44" si="958">BD44+1</f>
        <v>43</v>
      </c>
      <c r="BF44" s="368">
        <f t="shared" ref="BF44" si="959">BE44+1</f>
        <v>44</v>
      </c>
      <c r="BG44" s="368">
        <f t="shared" ref="BG44" si="960">BF44+1</f>
        <v>45</v>
      </c>
      <c r="BH44" s="368">
        <f t="shared" ref="BH44" si="961">BG44+1</f>
        <v>46</v>
      </c>
      <c r="BI44" s="368">
        <f t="shared" ref="BI44" si="962">BH44+1</f>
        <v>47</v>
      </c>
      <c r="BJ44" s="368">
        <f t="shared" ref="BJ44" si="963">BI44+1</f>
        <v>48</v>
      </c>
      <c r="BK44" s="368">
        <f t="shared" ref="BK44" si="964">BJ44+1</f>
        <v>49</v>
      </c>
      <c r="BL44" s="368">
        <f t="shared" ref="BL44" si="965">BK44+1</f>
        <v>50</v>
      </c>
      <c r="BM44" s="368">
        <f t="shared" ref="BM44" si="966">BL44+1</f>
        <v>51</v>
      </c>
      <c r="BN44" s="368">
        <f t="shared" ref="BN44" si="967">BM44+1</f>
        <v>52</v>
      </c>
      <c r="BO44" s="368">
        <f t="shared" ref="BO44" si="968">BN44+1</f>
        <v>53</v>
      </c>
      <c r="BP44" s="368">
        <f t="shared" ref="BP44" si="969">BO44+1</f>
        <v>54</v>
      </c>
      <c r="BQ44" s="368">
        <f t="shared" ref="BQ44" si="970">BP44+1</f>
        <v>55</v>
      </c>
      <c r="BR44" s="368">
        <f t="shared" ref="BR44" si="971">BQ44+1</f>
        <v>56</v>
      </c>
      <c r="BS44" s="368">
        <f t="shared" ref="BS44" si="972">BR44+1</f>
        <v>57</v>
      </c>
      <c r="BT44" s="368">
        <f t="shared" ref="BT44" si="973">BS44+1</f>
        <v>58</v>
      </c>
      <c r="BU44" s="368">
        <f>BT44+1</f>
        <v>59</v>
      </c>
      <c r="BV44" s="368">
        <f t="shared" ref="BV44:BW44" si="974">BU44+1</f>
        <v>60</v>
      </c>
      <c r="BW44" s="368">
        <f t="shared" si="974"/>
        <v>61</v>
      </c>
      <c r="BX44" s="368">
        <f t="shared" ref="BX44:BY44" si="975">BW44+1</f>
        <v>62</v>
      </c>
      <c r="BY44" s="368">
        <f t="shared" si="975"/>
        <v>63</v>
      </c>
      <c r="BZ44" s="368">
        <f t="shared" ref="BZ44:CA44" si="976">BY44+1</f>
        <v>64</v>
      </c>
      <c r="CA44" s="368">
        <f t="shared" si="976"/>
        <v>65</v>
      </c>
      <c r="CB44" s="368">
        <f t="shared" ref="CB44:CC44" si="977">CA44+1</f>
        <v>66</v>
      </c>
      <c r="CC44" s="368">
        <f t="shared" si="977"/>
        <v>67</v>
      </c>
      <c r="CD44" s="368">
        <f t="shared" ref="CD44" si="978">CC44+1</f>
        <v>68</v>
      </c>
      <c r="CE44" s="368">
        <f t="shared" ref="CE44" si="979">CD44+1</f>
        <v>69</v>
      </c>
      <c r="CF44" s="368">
        <f t="shared" ref="CF44" si="980">CE44+1</f>
        <v>70</v>
      </c>
      <c r="CG44" s="368">
        <f t="shared" ref="CG44" si="981">CF44+1</f>
        <v>71</v>
      </c>
      <c r="CH44" s="368">
        <f t="shared" ref="CH44" si="982">CG44+1</f>
        <v>72</v>
      </c>
      <c r="CI44" s="368">
        <f t="shared" ref="CI44" si="983">CH44+1</f>
        <v>73</v>
      </c>
      <c r="CJ44" s="368">
        <f t="shared" ref="CJ44" si="984">CI44+1</f>
        <v>74</v>
      </c>
      <c r="CK44" s="368">
        <f t="shared" ref="CK44" si="985">CJ44+1</f>
        <v>75</v>
      </c>
      <c r="CL44" s="368">
        <f t="shared" ref="CL44" si="986">CK44+1</f>
        <v>76</v>
      </c>
      <c r="CM44" s="368">
        <f t="shared" ref="CM44" si="987">CL44+1</f>
        <v>77</v>
      </c>
      <c r="CN44" s="368">
        <f t="shared" ref="CN44" si="988">CM44+1</f>
        <v>78</v>
      </c>
      <c r="CO44" s="368">
        <f t="shared" ref="CO44" si="989">CN44+1</f>
        <v>79</v>
      </c>
      <c r="CP44" s="368">
        <f t="shared" ref="CP44" si="990">CO44+1</f>
        <v>80</v>
      </c>
      <c r="CQ44" s="368">
        <f t="shared" ref="CQ44" si="991">CP44+1</f>
        <v>81</v>
      </c>
      <c r="CR44" s="368">
        <f t="shared" ref="CR44" si="992">CQ44+1</f>
        <v>82</v>
      </c>
      <c r="CS44" s="368">
        <f t="shared" ref="CS44" si="993">CR44+1</f>
        <v>83</v>
      </c>
      <c r="CT44" s="368">
        <f t="shared" ref="CT44" si="994">CS44+1</f>
        <v>84</v>
      </c>
      <c r="CU44" s="368">
        <f t="shared" ref="CU44" si="995">CT44+1</f>
        <v>85</v>
      </c>
      <c r="CV44" s="368">
        <f t="shared" ref="CV44" si="996">CU44+1</f>
        <v>86</v>
      </c>
      <c r="CW44" s="368">
        <f t="shared" ref="CW44" si="997">CV44+1</f>
        <v>87</v>
      </c>
      <c r="CX44" s="368">
        <f t="shared" ref="CX44" si="998">CW44+1</f>
        <v>88</v>
      </c>
      <c r="CY44" s="368">
        <f t="shared" ref="CY44" si="999">CX44+1</f>
        <v>89</v>
      </c>
      <c r="CZ44" s="368">
        <f t="shared" ref="CZ44" si="1000">CY44+1</f>
        <v>90</v>
      </c>
      <c r="DA44" s="368">
        <f t="shared" ref="DA44" si="1001">CZ44+1</f>
        <v>91</v>
      </c>
      <c r="DB44" s="368">
        <f t="shared" ref="DB44" si="1002">DA44+1</f>
        <v>92</v>
      </c>
      <c r="DC44" s="368">
        <f t="shared" ref="DC44" si="1003">DB44+1</f>
        <v>93</v>
      </c>
      <c r="DD44" s="368">
        <f t="shared" ref="DD44" si="1004">DC44+1</f>
        <v>94</v>
      </c>
      <c r="DE44" s="368">
        <f t="shared" ref="DE44" si="1005">DD44+1</f>
        <v>95</v>
      </c>
      <c r="DF44" s="368">
        <f t="shared" ref="DF44" si="1006">DE44+1</f>
        <v>96</v>
      </c>
      <c r="DG44" s="368">
        <f t="shared" ref="DG44" si="1007">DF44+1</f>
        <v>97</v>
      </c>
      <c r="DH44" s="368">
        <f t="shared" ref="DH44" si="1008">DG44+1</f>
        <v>98</v>
      </c>
      <c r="DI44" s="368">
        <f t="shared" ref="DI44" si="1009">DH44+1</f>
        <v>99</v>
      </c>
      <c r="DJ44" s="368">
        <f t="shared" ref="DJ44" si="1010">DI44+1</f>
        <v>100</v>
      </c>
      <c r="DK44" s="368">
        <f t="shared" ref="DK44" si="1011">DJ44+1</f>
        <v>101</v>
      </c>
      <c r="DL44" s="368">
        <f t="shared" ref="DL44" si="1012">DK44+1</f>
        <v>102</v>
      </c>
      <c r="DM44" s="368">
        <f t="shared" ref="DM44" si="1013">DL44+1</f>
        <v>103</v>
      </c>
      <c r="DN44" s="368">
        <f t="shared" ref="DN44" si="1014">DM44+1</f>
        <v>104</v>
      </c>
      <c r="DO44" s="368">
        <f t="shared" ref="DO44" si="1015">DN44+1</f>
        <v>105</v>
      </c>
      <c r="DP44" s="368">
        <f t="shared" ref="DP44" si="1016">DO44+1</f>
        <v>106</v>
      </c>
      <c r="DQ44" s="368">
        <f t="shared" ref="DQ44" si="1017">DP44+1</f>
        <v>107</v>
      </c>
      <c r="DR44" s="368">
        <f t="shared" ref="DR44" si="1018">DQ44+1</f>
        <v>108</v>
      </c>
      <c r="DS44" s="368">
        <f t="shared" ref="DS44" si="1019">DR44+1</f>
        <v>109</v>
      </c>
      <c r="DT44" s="368">
        <f t="shared" ref="DT44:DU44" si="1020">DS44+1</f>
        <v>110</v>
      </c>
      <c r="DU44" s="368">
        <f t="shared" si="1020"/>
        <v>111</v>
      </c>
    </row>
    <row r="45" spans="1:125">
      <c r="B45" s="369" t="s">
        <v>212</v>
      </c>
      <c r="C45" s="370">
        <f>$C$3</f>
        <v>42400</v>
      </c>
      <c r="D45" s="370">
        <f>EOMONTH(C45,1)</f>
        <v>42429</v>
      </c>
      <c r="E45" s="370">
        <f t="shared" ref="E45:AE45" si="1021">EOMONTH(D45,1)</f>
        <v>42460</v>
      </c>
      <c r="F45" s="370">
        <f t="shared" si="1021"/>
        <v>42490</v>
      </c>
      <c r="G45" s="370">
        <f t="shared" si="1021"/>
        <v>42521</v>
      </c>
      <c r="H45" s="370">
        <f t="shared" si="1021"/>
        <v>42551</v>
      </c>
      <c r="I45" s="370">
        <f t="shared" si="1021"/>
        <v>42582</v>
      </c>
      <c r="J45" s="370">
        <f t="shared" si="1021"/>
        <v>42613</v>
      </c>
      <c r="K45" s="370">
        <f t="shared" si="1021"/>
        <v>42643</v>
      </c>
      <c r="L45" s="370">
        <f t="shared" si="1021"/>
        <v>42674</v>
      </c>
      <c r="M45" s="370">
        <f t="shared" si="1021"/>
        <v>42704</v>
      </c>
      <c r="N45" s="370">
        <f t="shared" si="1021"/>
        <v>42735</v>
      </c>
      <c r="O45" s="370">
        <f t="shared" si="1021"/>
        <v>42766</v>
      </c>
      <c r="P45" s="370">
        <f t="shared" si="1021"/>
        <v>42794</v>
      </c>
      <c r="Q45" s="370">
        <f t="shared" si="1021"/>
        <v>42825</v>
      </c>
      <c r="R45" s="370">
        <f t="shared" si="1021"/>
        <v>42855</v>
      </c>
      <c r="S45" s="370">
        <f t="shared" si="1021"/>
        <v>42886</v>
      </c>
      <c r="T45" s="370">
        <f t="shared" si="1021"/>
        <v>42916</v>
      </c>
      <c r="U45" s="370">
        <f t="shared" si="1021"/>
        <v>42947</v>
      </c>
      <c r="V45" s="370">
        <f t="shared" si="1021"/>
        <v>42978</v>
      </c>
      <c r="W45" s="370">
        <f t="shared" si="1021"/>
        <v>43008</v>
      </c>
      <c r="X45" s="370">
        <f t="shared" si="1021"/>
        <v>43039</v>
      </c>
      <c r="Y45" s="370">
        <f t="shared" si="1021"/>
        <v>43069</v>
      </c>
      <c r="Z45" s="370">
        <f t="shared" si="1021"/>
        <v>43100</v>
      </c>
      <c r="AA45" s="370">
        <f t="shared" si="1021"/>
        <v>43131</v>
      </c>
      <c r="AB45" s="370">
        <f t="shared" si="1021"/>
        <v>43159</v>
      </c>
      <c r="AC45" s="370">
        <f t="shared" si="1021"/>
        <v>43190</v>
      </c>
      <c r="AD45" s="370">
        <f t="shared" si="1021"/>
        <v>43220</v>
      </c>
      <c r="AE45" s="370">
        <f t="shared" si="1021"/>
        <v>43251</v>
      </c>
      <c r="AF45" s="370">
        <f t="shared" ref="AF45" si="1022">EOMONTH(AE45,1)</f>
        <v>43281</v>
      </c>
      <c r="AG45" s="370">
        <f t="shared" ref="AG45" si="1023">EOMONTH(AF45,1)</f>
        <v>43312</v>
      </c>
      <c r="AH45" s="370">
        <f t="shared" ref="AH45" si="1024">EOMONTH(AG45,1)</f>
        <v>43343</v>
      </c>
      <c r="AI45" s="370">
        <f t="shared" ref="AI45" si="1025">EOMONTH(AH45,1)</f>
        <v>43373</v>
      </c>
      <c r="AJ45" s="370">
        <f t="shared" ref="AJ45" si="1026">EOMONTH(AI45,1)</f>
        <v>43404</v>
      </c>
      <c r="AK45" s="370">
        <f t="shared" ref="AK45" si="1027">EOMONTH(AJ45,1)</f>
        <v>43434</v>
      </c>
      <c r="AL45" s="370">
        <f t="shared" ref="AL45" si="1028">EOMONTH(AK45,1)</f>
        <v>43465</v>
      </c>
      <c r="AM45" s="370">
        <f t="shared" ref="AM45" si="1029">EOMONTH(AL45,1)</f>
        <v>43496</v>
      </c>
      <c r="AN45" s="370">
        <f t="shared" ref="AN45" si="1030">EOMONTH(AM45,1)</f>
        <v>43524</v>
      </c>
      <c r="AO45" s="370">
        <f t="shared" ref="AO45" si="1031">EOMONTH(AN45,1)</f>
        <v>43555</v>
      </c>
      <c r="AP45" s="370">
        <f t="shared" ref="AP45" si="1032">EOMONTH(AO45,1)</f>
        <v>43585</v>
      </c>
      <c r="AQ45" s="370">
        <f t="shared" ref="AQ45" si="1033">EOMONTH(AP45,1)</f>
        <v>43616</v>
      </c>
      <c r="AR45" s="370">
        <f t="shared" ref="AR45" si="1034">EOMONTH(AQ45,1)</f>
        <v>43646</v>
      </c>
      <c r="AS45" s="370">
        <f t="shared" ref="AS45" si="1035">EOMONTH(AR45,1)</f>
        <v>43677</v>
      </c>
      <c r="AT45" s="370">
        <f t="shared" ref="AT45" si="1036">EOMONTH(AS45,1)</f>
        <v>43708</v>
      </c>
      <c r="AU45" s="370">
        <f t="shared" ref="AU45" si="1037">EOMONTH(AT45,1)</f>
        <v>43738</v>
      </c>
      <c r="AV45" s="370">
        <f t="shared" ref="AV45" si="1038">EOMONTH(AU45,1)</f>
        <v>43769</v>
      </c>
      <c r="AW45" s="370">
        <f t="shared" ref="AW45" si="1039">EOMONTH(AV45,1)</f>
        <v>43799</v>
      </c>
      <c r="AX45" s="370">
        <f t="shared" ref="AX45" si="1040">EOMONTH(AW45,1)</f>
        <v>43830</v>
      </c>
      <c r="AY45" s="370">
        <f t="shared" ref="AY45" si="1041">EOMONTH(AX45,1)</f>
        <v>43861</v>
      </c>
      <c r="AZ45" s="370">
        <f t="shared" ref="AZ45" si="1042">EOMONTH(AY45,1)</f>
        <v>43890</v>
      </c>
      <c r="BA45" s="370">
        <f t="shared" ref="BA45" si="1043">EOMONTH(AZ45,1)</f>
        <v>43921</v>
      </c>
      <c r="BB45" s="370">
        <f t="shared" ref="BB45" si="1044">EOMONTH(BA45,1)</f>
        <v>43951</v>
      </c>
      <c r="BC45" s="370">
        <f t="shared" ref="BC45" si="1045">EOMONTH(BB45,1)</f>
        <v>43982</v>
      </c>
      <c r="BD45" s="370">
        <f t="shared" ref="BD45" si="1046">EOMONTH(BC45,1)</f>
        <v>44012</v>
      </c>
      <c r="BE45" s="370">
        <f t="shared" ref="BE45" si="1047">EOMONTH(BD45,1)</f>
        <v>44043</v>
      </c>
      <c r="BF45" s="370">
        <f t="shared" ref="BF45" si="1048">EOMONTH(BE45,1)</f>
        <v>44074</v>
      </c>
      <c r="BG45" s="370">
        <f t="shared" ref="BG45" si="1049">EOMONTH(BF45,1)</f>
        <v>44104</v>
      </c>
      <c r="BH45" s="370">
        <f t="shared" ref="BH45" si="1050">EOMONTH(BG45,1)</f>
        <v>44135</v>
      </c>
      <c r="BI45" s="370">
        <f t="shared" ref="BI45" si="1051">EOMONTH(BH45,1)</f>
        <v>44165</v>
      </c>
      <c r="BJ45" s="370">
        <f t="shared" ref="BJ45" si="1052">EOMONTH(BI45,1)</f>
        <v>44196</v>
      </c>
      <c r="BK45" s="370">
        <f t="shared" ref="BK45" si="1053">EOMONTH(BJ45,1)</f>
        <v>44227</v>
      </c>
      <c r="BL45" s="370">
        <f t="shared" ref="BL45" si="1054">EOMONTH(BK45,1)</f>
        <v>44255</v>
      </c>
      <c r="BM45" s="370">
        <f t="shared" ref="BM45" si="1055">EOMONTH(BL45,1)</f>
        <v>44286</v>
      </c>
      <c r="BN45" s="370">
        <f t="shared" ref="BN45" si="1056">EOMONTH(BM45,1)</f>
        <v>44316</v>
      </c>
      <c r="BO45" s="370">
        <f t="shared" ref="BO45" si="1057">EOMONTH(BN45,1)</f>
        <v>44347</v>
      </c>
      <c r="BP45" s="370">
        <f t="shared" ref="BP45" si="1058">EOMONTH(BO45,1)</f>
        <v>44377</v>
      </c>
      <c r="BQ45" s="370">
        <f t="shared" ref="BQ45" si="1059">EOMONTH(BP45,1)</f>
        <v>44408</v>
      </c>
      <c r="BR45" s="370">
        <f t="shared" ref="BR45" si="1060">EOMONTH(BQ45,1)</f>
        <v>44439</v>
      </c>
      <c r="BS45" s="370">
        <f t="shared" ref="BS45" si="1061">EOMONTH(BR45,1)</f>
        <v>44469</v>
      </c>
      <c r="BT45" s="370">
        <f t="shared" ref="BT45" si="1062">EOMONTH(BS45,1)</f>
        <v>44500</v>
      </c>
      <c r="BU45" s="370">
        <f>EOMONTH(BT45,1)</f>
        <v>44530</v>
      </c>
      <c r="BV45" s="370">
        <f t="shared" ref="BV45:BW45" si="1063">EOMONTH(BU45,1)</f>
        <v>44561</v>
      </c>
      <c r="BW45" s="370">
        <f t="shared" si="1063"/>
        <v>44592</v>
      </c>
      <c r="BX45" s="370">
        <f t="shared" ref="BX45:BY45" si="1064">EOMONTH(BW45,1)</f>
        <v>44620</v>
      </c>
      <c r="BY45" s="370">
        <f t="shared" si="1064"/>
        <v>44651</v>
      </c>
      <c r="BZ45" s="370">
        <f t="shared" ref="BZ45:CA45" si="1065">EOMONTH(BY45,1)</f>
        <v>44681</v>
      </c>
      <c r="CA45" s="370">
        <f t="shared" si="1065"/>
        <v>44712</v>
      </c>
      <c r="CB45" s="370">
        <f t="shared" ref="CB45:CC45" si="1066">EOMONTH(CA45,1)</f>
        <v>44742</v>
      </c>
      <c r="CC45" s="370">
        <f t="shared" si="1066"/>
        <v>44773</v>
      </c>
      <c r="CD45" s="370">
        <f t="shared" ref="CD45" si="1067">EOMONTH(CC45,1)</f>
        <v>44804</v>
      </c>
      <c r="CE45" s="370">
        <f t="shared" ref="CE45" si="1068">EOMONTH(CD45,1)</f>
        <v>44834</v>
      </c>
      <c r="CF45" s="370">
        <f t="shared" ref="CF45" si="1069">EOMONTH(CE45,1)</f>
        <v>44865</v>
      </c>
      <c r="CG45" s="370">
        <f t="shared" ref="CG45" si="1070">EOMONTH(CF45,1)</f>
        <v>44895</v>
      </c>
      <c r="CH45" s="370">
        <f t="shared" ref="CH45" si="1071">EOMONTH(CG45,1)</f>
        <v>44926</v>
      </c>
      <c r="CI45" s="370">
        <f t="shared" ref="CI45" si="1072">EOMONTH(CH45,1)</f>
        <v>44957</v>
      </c>
      <c r="CJ45" s="370">
        <f t="shared" ref="CJ45" si="1073">EOMONTH(CI45,1)</f>
        <v>44985</v>
      </c>
      <c r="CK45" s="370">
        <f t="shared" ref="CK45" si="1074">EOMONTH(CJ45,1)</f>
        <v>45016</v>
      </c>
      <c r="CL45" s="370">
        <f t="shared" ref="CL45" si="1075">EOMONTH(CK45,1)</f>
        <v>45046</v>
      </c>
      <c r="CM45" s="370">
        <f t="shared" ref="CM45" si="1076">EOMONTH(CL45,1)</f>
        <v>45077</v>
      </c>
      <c r="CN45" s="370">
        <f t="shared" ref="CN45" si="1077">EOMONTH(CM45,1)</f>
        <v>45107</v>
      </c>
      <c r="CO45" s="370">
        <f t="shared" ref="CO45" si="1078">EOMONTH(CN45,1)</f>
        <v>45138</v>
      </c>
      <c r="CP45" s="370">
        <f t="shared" ref="CP45" si="1079">EOMONTH(CO45,1)</f>
        <v>45169</v>
      </c>
      <c r="CQ45" s="370">
        <f t="shared" ref="CQ45" si="1080">EOMONTH(CP45,1)</f>
        <v>45199</v>
      </c>
      <c r="CR45" s="370">
        <f t="shared" ref="CR45" si="1081">EOMONTH(CQ45,1)</f>
        <v>45230</v>
      </c>
      <c r="CS45" s="370">
        <f t="shared" ref="CS45" si="1082">EOMONTH(CR45,1)</f>
        <v>45260</v>
      </c>
      <c r="CT45" s="370">
        <f t="shared" ref="CT45" si="1083">EOMONTH(CS45,1)</f>
        <v>45291</v>
      </c>
      <c r="CU45" s="370">
        <f t="shared" ref="CU45" si="1084">EOMONTH(CT45,1)</f>
        <v>45322</v>
      </c>
      <c r="CV45" s="370">
        <f t="shared" ref="CV45" si="1085">EOMONTH(CU45,1)</f>
        <v>45351</v>
      </c>
      <c r="CW45" s="370">
        <f t="shared" ref="CW45" si="1086">EOMONTH(CV45,1)</f>
        <v>45382</v>
      </c>
      <c r="CX45" s="370">
        <f t="shared" ref="CX45" si="1087">EOMONTH(CW45,1)</f>
        <v>45412</v>
      </c>
      <c r="CY45" s="370">
        <f t="shared" ref="CY45" si="1088">EOMONTH(CX45,1)</f>
        <v>45443</v>
      </c>
      <c r="CZ45" s="370">
        <f t="shared" ref="CZ45" si="1089">EOMONTH(CY45,1)</f>
        <v>45473</v>
      </c>
      <c r="DA45" s="370">
        <f t="shared" ref="DA45" si="1090">EOMONTH(CZ45,1)</f>
        <v>45504</v>
      </c>
      <c r="DB45" s="370">
        <f t="shared" ref="DB45" si="1091">EOMONTH(DA45,1)</f>
        <v>45535</v>
      </c>
      <c r="DC45" s="370">
        <f t="shared" ref="DC45" si="1092">EOMONTH(DB45,1)</f>
        <v>45565</v>
      </c>
      <c r="DD45" s="370">
        <f t="shared" ref="DD45" si="1093">EOMONTH(DC45,1)</f>
        <v>45596</v>
      </c>
      <c r="DE45" s="370">
        <f t="shared" ref="DE45" si="1094">EOMONTH(DD45,1)</f>
        <v>45626</v>
      </c>
      <c r="DF45" s="370">
        <f t="shared" ref="DF45" si="1095">EOMONTH(DE45,1)</f>
        <v>45657</v>
      </c>
      <c r="DG45" s="370">
        <f t="shared" ref="DG45" si="1096">EOMONTH(DF45,1)</f>
        <v>45688</v>
      </c>
      <c r="DH45" s="370">
        <f t="shared" ref="DH45" si="1097">EOMONTH(DG45,1)</f>
        <v>45716</v>
      </c>
      <c r="DI45" s="370">
        <f t="shared" ref="DI45" si="1098">EOMONTH(DH45,1)</f>
        <v>45747</v>
      </c>
      <c r="DJ45" s="370">
        <f t="shared" ref="DJ45" si="1099">EOMONTH(DI45,1)</f>
        <v>45777</v>
      </c>
      <c r="DK45" s="370">
        <f t="shared" ref="DK45" si="1100">EOMONTH(DJ45,1)</f>
        <v>45808</v>
      </c>
      <c r="DL45" s="370">
        <f t="shared" ref="DL45" si="1101">EOMONTH(DK45,1)</f>
        <v>45838</v>
      </c>
      <c r="DM45" s="370">
        <f t="shared" ref="DM45" si="1102">EOMONTH(DL45,1)</f>
        <v>45869</v>
      </c>
      <c r="DN45" s="370">
        <f t="shared" ref="DN45" si="1103">EOMONTH(DM45,1)</f>
        <v>45900</v>
      </c>
      <c r="DO45" s="370">
        <f t="shared" ref="DO45" si="1104">EOMONTH(DN45,1)</f>
        <v>45930</v>
      </c>
      <c r="DP45" s="370">
        <f t="shared" ref="DP45" si="1105">EOMONTH(DO45,1)</f>
        <v>45961</v>
      </c>
      <c r="DQ45" s="370">
        <f t="shared" ref="DQ45" si="1106">EOMONTH(DP45,1)</f>
        <v>45991</v>
      </c>
      <c r="DR45" s="370">
        <f t="shared" ref="DR45" si="1107">EOMONTH(DQ45,1)</f>
        <v>46022</v>
      </c>
      <c r="DS45" s="370">
        <f t="shared" ref="DS45" si="1108">EOMONTH(DR45,1)</f>
        <v>46053</v>
      </c>
      <c r="DT45" s="370">
        <f t="shared" ref="DT45:DU45" si="1109">EOMONTH(DS45,1)</f>
        <v>46081</v>
      </c>
      <c r="DU45" s="370">
        <f t="shared" si="1109"/>
        <v>46112</v>
      </c>
    </row>
    <row r="46" spans="1:125">
      <c r="B46" s="372" t="s">
        <v>181</v>
      </c>
      <c r="C46" s="124"/>
      <c r="D46" s="124"/>
      <c r="E46" s="124"/>
      <c r="F46" s="124"/>
      <c r="G46" s="124"/>
      <c r="H46" s="124"/>
      <c r="I46" s="124"/>
      <c r="J46" s="124"/>
      <c r="K46" s="124"/>
      <c r="L46" s="124"/>
      <c r="M46" s="124"/>
      <c r="N46" s="124"/>
      <c r="O46" s="124">
        <v>0</v>
      </c>
      <c r="P46" s="124">
        <v>0</v>
      </c>
      <c r="Q46" s="125">
        <v>0</v>
      </c>
      <c r="R46" s="124">
        <v>0</v>
      </c>
      <c r="S46" s="124">
        <v>0</v>
      </c>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4"/>
      <c r="CC46" s="124"/>
      <c r="CD46" s="124"/>
      <c r="CE46" s="124"/>
      <c r="CF46" s="124"/>
      <c r="CG46" s="124"/>
      <c r="CH46" s="124"/>
      <c r="CI46" s="124"/>
      <c r="CJ46" s="124"/>
      <c r="CK46" s="124"/>
      <c r="CL46" s="124"/>
      <c r="CM46" s="124"/>
      <c r="CN46" s="124"/>
      <c r="CO46" s="124"/>
      <c r="CP46" s="124"/>
      <c r="CQ46" s="124"/>
      <c r="CR46" s="124"/>
      <c r="CS46" s="124"/>
      <c r="CT46" s="124"/>
      <c r="CU46" s="124">
        <f>1828/3</f>
        <v>609.33333333333337</v>
      </c>
      <c r="CV46" s="124">
        <f>CU46</f>
        <v>609.33333333333337</v>
      </c>
      <c r="CW46" s="124">
        <f>CV46</f>
        <v>609.33333333333337</v>
      </c>
      <c r="CX46" s="124">
        <f>(3541-1828)/3</f>
        <v>571</v>
      </c>
      <c r="CY46" s="124">
        <f>CX46</f>
        <v>571</v>
      </c>
      <c r="CZ46" s="124">
        <f>CY46</f>
        <v>571</v>
      </c>
      <c r="DA46" s="124">
        <v>484</v>
      </c>
      <c r="DB46" s="124">
        <v>484</v>
      </c>
      <c r="DC46" s="124">
        <v>484</v>
      </c>
      <c r="DD46" s="124">
        <v>545</v>
      </c>
      <c r="DE46" s="124">
        <v>545</v>
      </c>
      <c r="DF46" s="124">
        <v>546</v>
      </c>
      <c r="DG46" s="124">
        <v>332</v>
      </c>
      <c r="DH46" s="124">
        <v>332</v>
      </c>
      <c r="DI46" s="124">
        <v>332</v>
      </c>
      <c r="DJ46" s="124">
        <f>+(2319-996)/3</f>
        <v>441</v>
      </c>
      <c r="DK46" s="124">
        <v>441</v>
      </c>
      <c r="DL46" s="124">
        <v>441</v>
      </c>
      <c r="DM46" s="124"/>
      <c r="DN46" s="124"/>
      <c r="DO46" s="124"/>
      <c r="DP46" s="124"/>
      <c r="DQ46" s="124"/>
      <c r="DR46" s="124"/>
      <c r="DS46" s="124"/>
      <c r="DT46" s="124"/>
      <c r="DU46" s="124"/>
    </row>
    <row r="47" spans="1:125">
      <c r="B47" s="87" t="s">
        <v>182</v>
      </c>
      <c r="C47" s="88">
        <f>SUMIF($C$51:C$51,"="&amp;YEAR(C45),$C$46:C$46)</f>
        <v>0</v>
      </c>
      <c r="D47" s="88">
        <f>SUMIF($C$51:D$51,"="&amp;YEAR(D45),$C$46:D$46)</f>
        <v>0</v>
      </c>
      <c r="E47" s="88">
        <f>SUMIF($C$51:E$51,"="&amp;YEAR(E45),$C$46:E$46)</f>
        <v>0</v>
      </c>
      <c r="F47" s="88">
        <f>SUMIF($C$51:F$51,"="&amp;YEAR(F45),$C$46:F$46)</f>
        <v>0</v>
      </c>
      <c r="G47" s="88">
        <f>SUMIF($C$51:G$51,"="&amp;YEAR(G45),$C$46:G$46)</f>
        <v>0</v>
      </c>
      <c r="H47" s="88">
        <f>SUMIF($C$51:H$51,"="&amp;YEAR(H45),$C$46:H$46)</f>
        <v>0</v>
      </c>
      <c r="I47" s="88">
        <f>SUMIF($C$51:I$51,"="&amp;YEAR(I45),$C$46:I$46)</f>
        <v>0</v>
      </c>
      <c r="J47" s="88">
        <f>SUMIF($C$51:J$51,"="&amp;YEAR(J45),$C$46:J$46)</f>
        <v>0</v>
      </c>
      <c r="K47" s="88">
        <f>SUMIF($C$51:K$51,"="&amp;YEAR(K45),$C$46:K$46)</f>
        <v>0</v>
      </c>
      <c r="L47" s="88">
        <f>SUMIF($C$51:L$51,"="&amp;YEAR(L45),$C$46:L$46)</f>
        <v>0</v>
      </c>
      <c r="M47" s="88">
        <f>SUMIF($C$51:M$51,"="&amp;YEAR(M45),$C$46:M$46)</f>
        <v>0</v>
      </c>
      <c r="N47" s="88">
        <f>SUMIF($C$51:N$51,"="&amp;YEAR(N45),$C$46:N$46)</f>
        <v>0</v>
      </c>
      <c r="O47" s="88">
        <f>SUMIF($C$51:O$51,"="&amp;YEAR(O45),$C$46:O$46)</f>
        <v>0</v>
      </c>
      <c r="P47" s="88">
        <f>SUMIF($C$51:P$51,"="&amp;YEAR(P45),$C$46:P$46)</f>
        <v>0</v>
      </c>
      <c r="Q47" s="88">
        <f>SUMIF($C$51:Q$51,"="&amp;YEAR(Q45),$C$46:Q$46)</f>
        <v>0</v>
      </c>
      <c r="R47" s="88">
        <f>SUMIF($C$51:R$51,"="&amp;YEAR(R45),$C$46:R$46)</f>
        <v>0</v>
      </c>
      <c r="S47" s="88">
        <f>SUMIF($C$51:S$51,"="&amp;YEAR(S45),$C$46:S$46)</f>
        <v>0</v>
      </c>
      <c r="T47" s="88">
        <f>SUMIF($C$51:T$51,"="&amp;YEAR(T45),$C$46:T$46)</f>
        <v>0</v>
      </c>
      <c r="U47" s="88">
        <f>SUMIF($C$51:U$51,"="&amp;YEAR(U45),$C$46:U$46)</f>
        <v>0</v>
      </c>
      <c r="V47" s="88">
        <f>SUMIF($C$51:V$51,"="&amp;YEAR(V45),$C$46:V$46)</f>
        <v>0</v>
      </c>
      <c r="W47" s="88">
        <f>SUMIF($C$51:W$51,"="&amp;YEAR(W45),$C$46:W$46)</f>
        <v>0</v>
      </c>
      <c r="X47" s="88">
        <f>SUMIF($C$51:X$51,"="&amp;YEAR(X45),$C$46:X$46)</f>
        <v>0</v>
      </c>
      <c r="Y47" s="88">
        <f>SUMIF($C$51:Y$51,"="&amp;YEAR(Y45),$C$46:Y$46)</f>
        <v>0</v>
      </c>
      <c r="Z47" s="88">
        <f>SUMIF($C$51:Z$51,"="&amp;YEAR(Z45),$C$46:Z$46)</f>
        <v>0</v>
      </c>
      <c r="AA47" s="88">
        <f>SUMIF($C$51:AA$51,"="&amp;YEAR(AA45),$C$46:AA$46)</f>
        <v>0</v>
      </c>
      <c r="AB47" s="88">
        <f>SUMIF($C$51:AB$51,"="&amp;YEAR(AB45),$C$46:AB$46)</f>
        <v>0</v>
      </c>
      <c r="AC47" s="88">
        <f>SUMIF($C$51:AC$51,"="&amp;YEAR(AC45),$C$46:AC$46)</f>
        <v>0</v>
      </c>
      <c r="AD47" s="88">
        <f>SUMIF($C$51:AD$51,"="&amp;YEAR(AD45),$C$46:AD$46)</f>
        <v>0</v>
      </c>
      <c r="AE47" s="88">
        <f>SUMIF($C$51:AE$51,"="&amp;YEAR(AE45),$C$46:AE$46)</f>
        <v>0</v>
      </c>
      <c r="AF47" s="88">
        <f>SUMIF($C$51:AF$51,"="&amp;YEAR(AF45),$C$46:AF$46)</f>
        <v>0</v>
      </c>
      <c r="AG47" s="88">
        <f>SUMIF($C$51:AG$51,"="&amp;YEAR(AG45),$C$46:AG$46)</f>
        <v>0</v>
      </c>
      <c r="AH47" s="88">
        <f>SUMIF($C$51:AH$51,"="&amp;YEAR(AH45),$C$46:AH$46)</f>
        <v>0</v>
      </c>
      <c r="AI47" s="88">
        <f>SUMIF($C$51:AI$51,"="&amp;YEAR(AI45),$C$46:AI$46)</f>
        <v>0</v>
      </c>
      <c r="AJ47" s="88">
        <f>SUMIF($C$51:AJ$51,"="&amp;YEAR(AJ45),$C$46:AJ$46)</f>
        <v>0</v>
      </c>
      <c r="AK47" s="88">
        <f>SUMIF($C$51:AK$51,"="&amp;YEAR(AK45),$C$46:AK$46)</f>
        <v>0</v>
      </c>
      <c r="AL47" s="88">
        <f>SUMIF($C$51:AL$51,"="&amp;YEAR(AL45),$C$46:AL$46)</f>
        <v>0</v>
      </c>
      <c r="AM47" s="88">
        <f>SUMIF($C$51:AM$51,"="&amp;YEAR(AM45),$C$46:AM$46)</f>
        <v>0</v>
      </c>
      <c r="AN47" s="88">
        <f>SUMIF($C$51:AN$51,"="&amp;YEAR(AN45),$C$46:AN$46)</f>
        <v>0</v>
      </c>
      <c r="AO47" s="88">
        <f>SUMIF($C$51:AO$51,"="&amp;YEAR(AO45),$C$46:AO$46)</f>
        <v>0</v>
      </c>
      <c r="AP47" s="88">
        <f>SUMIF($C$51:AP$51,"="&amp;YEAR(AP45),$C$46:AP$46)</f>
        <v>0</v>
      </c>
      <c r="AQ47" s="88">
        <f>SUMIF($C$51:AQ$51,"="&amp;YEAR(AQ45),$C$46:AQ$46)</f>
        <v>0</v>
      </c>
      <c r="AR47" s="88">
        <f>SUMIF($C$51:AR$51,"="&amp;YEAR(AR45),$C$46:AR$46)</f>
        <v>0</v>
      </c>
      <c r="AS47" s="88">
        <f>SUMIF($C$51:AS$51,"="&amp;YEAR(AS45),$C$46:AS$46)</f>
        <v>0</v>
      </c>
      <c r="AT47" s="88">
        <f>SUMIF($C$51:AT$51,"="&amp;YEAR(AT45),$C$46:AT$46)</f>
        <v>0</v>
      </c>
      <c r="AU47" s="88">
        <f>SUMIF($C$51:AU$51,"="&amp;YEAR(AU45),$C$46:AU$46)</f>
        <v>0</v>
      </c>
      <c r="AV47" s="88">
        <f>SUMIF($C$51:AV$51,"="&amp;YEAR(AV45),$C$46:AV$46)</f>
        <v>0</v>
      </c>
      <c r="AW47" s="88">
        <f>SUMIF($C$51:AW$51,"="&amp;YEAR(AW45),$C$46:AW$46)</f>
        <v>0</v>
      </c>
      <c r="AX47" s="88">
        <f>SUMIF($C$51:AX$51,"="&amp;YEAR(AX45),$C$46:AX$46)</f>
        <v>0</v>
      </c>
      <c r="AY47" s="88">
        <f>SUMIF($C$51:AY$51,"="&amp;YEAR(AY45),$C$46:AY$46)</f>
        <v>0</v>
      </c>
      <c r="AZ47" s="88">
        <f>SUMIF($C$51:AZ$51,"="&amp;YEAR(AZ45),$C$46:AZ$46)</f>
        <v>0</v>
      </c>
      <c r="BA47" s="88">
        <f>SUMIF($C$51:BA$51,"="&amp;YEAR(BA45),$C$46:BA$46)</f>
        <v>0</v>
      </c>
      <c r="BB47" s="88">
        <f>SUMIF($C$51:BB$51,"="&amp;YEAR(BB45),$C$46:BB$46)</f>
        <v>0</v>
      </c>
      <c r="BC47" s="88">
        <f>SUMIF($C$51:BC$51,"="&amp;YEAR(BC45),$C$46:BC$46)</f>
        <v>0</v>
      </c>
      <c r="BD47" s="88">
        <f>SUMIF($C$51:BD$51,"="&amp;YEAR(BD45),$C$46:BD$46)</f>
        <v>0</v>
      </c>
      <c r="BE47" s="88">
        <f>SUMIF($C$51:BE$51,"="&amp;YEAR(BE45),$C$46:BE$46)</f>
        <v>0</v>
      </c>
      <c r="BF47" s="88">
        <f>SUMIF($C$51:BF$51,"="&amp;YEAR(BF45),$C$46:BF$46)</f>
        <v>0</v>
      </c>
      <c r="BG47" s="88">
        <f>SUMIF($C$51:BG$51,"="&amp;YEAR(BG45),$C$46:BG$46)</f>
        <v>0</v>
      </c>
      <c r="BH47" s="88">
        <f>SUMIF($C$51:BH$51,"="&amp;YEAR(BH45),$C$46:BH$46)</f>
        <v>0</v>
      </c>
      <c r="BI47" s="88">
        <f>SUMIF($C$51:BI$51,"="&amp;YEAR(BI45),$C$46:BI$46)</f>
        <v>0</v>
      </c>
      <c r="BJ47" s="88">
        <f>SUMIF($C$51:BJ$51,"="&amp;YEAR(BJ45),$C$46:BJ$46)</f>
        <v>0</v>
      </c>
      <c r="BK47" s="88">
        <f>SUMIF($C$51:BK$51,"="&amp;YEAR(BK45),$C$46:BK$46)</f>
        <v>0</v>
      </c>
      <c r="BL47" s="88">
        <f>SUMIF($C$51:BL$51,"="&amp;YEAR(BL45),$C$46:BL$46)</f>
        <v>0</v>
      </c>
      <c r="BM47" s="88">
        <f>SUMIF($C$51:BM$51,"="&amp;YEAR(BM45),$C$46:BM$46)</f>
        <v>0</v>
      </c>
      <c r="BN47" s="88">
        <f>SUMIF($C$51:BN$51,"="&amp;YEAR(BN45),$C$46:BN$46)</f>
        <v>0</v>
      </c>
      <c r="BO47" s="88">
        <f>SUMIF($C$51:BO$51,"="&amp;YEAR(BO45),$C$46:BO$46)</f>
        <v>0</v>
      </c>
      <c r="BP47" s="88">
        <f>SUMIF($C$51:BP$51,"="&amp;YEAR(BP45),$C$46:BP$46)</f>
        <v>0</v>
      </c>
      <c r="BQ47" s="88">
        <f>SUMIF($C$51:BQ$51,"="&amp;YEAR(BQ45),$C$46:BQ$46)</f>
        <v>0</v>
      </c>
      <c r="BR47" s="88">
        <f>SUMIF($C$51:BR$51,"="&amp;YEAR(BR45),$C$46:BR$46)</f>
        <v>0</v>
      </c>
      <c r="BS47" s="88">
        <f>SUMIF($C$51:BS$51,"="&amp;YEAR(BS45),$C$46:BS$46)</f>
        <v>0</v>
      </c>
      <c r="BT47" s="88">
        <f>SUMIF($C$51:BT$51,"="&amp;YEAR(BT45),$C$46:BT$46)</f>
        <v>0</v>
      </c>
      <c r="BU47" s="88">
        <f>SUMIF($C$51:BU$51,"="&amp;YEAR(BU45),$C$46:BU$46)</f>
        <v>0</v>
      </c>
      <c r="BV47" s="88">
        <f>SUMIF($C$51:BV$51,"="&amp;YEAR(BV45),$C$46:BV$46)</f>
        <v>0</v>
      </c>
      <c r="BW47" s="88">
        <f>SUMIF($C$51:BW$51,"="&amp;YEAR(BW45),$C$46:BW$46)</f>
        <v>0</v>
      </c>
      <c r="BX47" s="88">
        <f>SUMIF($C$51:BX$51,"="&amp;YEAR(BX45),$C$46:BX$46)</f>
        <v>0</v>
      </c>
      <c r="BY47" s="88">
        <f>SUMIF($C$51:BY$51,"="&amp;YEAR(BY45),$C$46:BY$46)</f>
        <v>0</v>
      </c>
      <c r="BZ47" s="88">
        <f>SUMIF($C$51:BZ$51,"="&amp;YEAR(BZ45),$C$46:BZ$46)</f>
        <v>0</v>
      </c>
      <c r="CA47" s="88">
        <f>SUMIF($C$51:CA$51,"="&amp;YEAR(CA45),$C$46:CA$46)</f>
        <v>0</v>
      </c>
      <c r="CB47" s="88">
        <f>SUMIF($C$51:CB$51,"="&amp;YEAR(CB45),$C$46:CB$46)</f>
        <v>0</v>
      </c>
      <c r="CC47" s="88">
        <f>SUMIF($C$51:CC$51,"="&amp;YEAR(CC45),$C$46:CC$46)</f>
        <v>0</v>
      </c>
      <c r="CD47" s="88">
        <f>SUMIF($C$51:CD$51,"="&amp;YEAR(CD45),$C$46:CD$46)</f>
        <v>0</v>
      </c>
      <c r="CE47" s="88">
        <f>SUMIF($C$51:CE$51,"="&amp;YEAR(CE45),$C$46:CE$46)</f>
        <v>0</v>
      </c>
      <c r="CF47" s="88">
        <f>SUMIF($C$51:CF$51,"="&amp;YEAR(CF45),$C$46:CF$46)</f>
        <v>0</v>
      </c>
      <c r="CG47" s="88">
        <f>SUMIF($C$51:CG$51,"="&amp;YEAR(CG45),$C$46:CG$46)</f>
        <v>0</v>
      </c>
      <c r="CH47" s="88">
        <f>SUMIF($C$51:CH$51,"="&amp;YEAR(CH45),$C$46:CH$46)</f>
        <v>0</v>
      </c>
      <c r="CI47" s="88">
        <f>SUMIF($C$51:CI$51,"="&amp;YEAR(CI45),$C$46:CI$46)</f>
        <v>0</v>
      </c>
      <c r="CJ47" s="88">
        <f>SUMIF($C$51:CJ$51,"="&amp;YEAR(CJ45),$C$46:CJ$46)</f>
        <v>0</v>
      </c>
      <c r="CK47" s="88">
        <f>SUMIF($C$51:CK$51,"="&amp;YEAR(CK45),$C$46:CK$46)</f>
        <v>0</v>
      </c>
      <c r="CL47" s="88">
        <f>SUMIF($C$51:CL$51,"="&amp;YEAR(CL45),$C$46:CL$46)</f>
        <v>0</v>
      </c>
      <c r="CM47" s="88">
        <f>SUMIF($C$51:CM$51,"="&amp;YEAR(CM45),$C$46:CM$46)</f>
        <v>0</v>
      </c>
      <c r="CN47" s="88">
        <f>SUMIF($C$51:CN$51,"="&amp;YEAR(CN45),$C$46:CN$46)</f>
        <v>0</v>
      </c>
      <c r="CO47" s="88">
        <f>SUMIF($C$51:CO$51,"="&amp;YEAR(CO45),$C$46:CO$46)</f>
        <v>0</v>
      </c>
      <c r="CP47" s="88">
        <f>SUMIF($C$51:CP$51,"="&amp;YEAR(CP45),$C$46:CP$46)</f>
        <v>0</v>
      </c>
      <c r="CQ47" s="88">
        <f>SUMIF($C$51:CQ$51,"="&amp;YEAR(CQ45),$C$46:CQ$46)</f>
        <v>0</v>
      </c>
      <c r="CR47" s="88">
        <f>SUMIF($C$51:CR$51,"="&amp;YEAR(CR45),$C$46:CR$46)</f>
        <v>0</v>
      </c>
      <c r="CS47" s="88">
        <f>SUMIF($C$51:CS$51,"="&amp;YEAR(CS45),$C$46:CS$46)</f>
        <v>0</v>
      </c>
      <c r="CT47" s="88">
        <f>SUMIF($C$51:CT$51,"="&amp;YEAR(CT45),$C$46:CT$46)</f>
        <v>0</v>
      </c>
      <c r="CU47" s="88">
        <f>SUMIF($C$51:CU$51,"="&amp;YEAR(CU45),$C$46:CU$46)</f>
        <v>609.33333333333337</v>
      </c>
      <c r="CV47" s="88">
        <f>SUMIF($C$51:CV$51,"="&amp;YEAR(CV45),$C$46:CV$46)</f>
        <v>1218.6666666666667</v>
      </c>
      <c r="CW47" s="88">
        <f>SUMIF($C$51:CW$51,"="&amp;YEAR(CW45),$C$46:CW$46)</f>
        <v>1828</v>
      </c>
      <c r="CX47" s="88">
        <f>SUMIF($C$51:CX$51,"="&amp;YEAR(CX45),$C$46:CX$46)</f>
        <v>2399</v>
      </c>
      <c r="CY47" s="88">
        <f>SUMIF($C$51:CY$51,"="&amp;YEAR(CY45),$C$46:CY$46)</f>
        <v>2970</v>
      </c>
      <c r="CZ47" s="88">
        <f>SUMIF($C$51:CZ$51,"="&amp;YEAR(CZ45),$C$46:CZ$46)</f>
        <v>3541</v>
      </c>
      <c r="DA47" s="88">
        <f>SUMIF($C$51:DA$51,"="&amp;YEAR(DA45),$C$46:DA$46)</f>
        <v>4025</v>
      </c>
      <c r="DB47" s="88">
        <f>SUMIF($C$51:DB$51,"="&amp;YEAR(DB45),$C$46:DB$46)</f>
        <v>4509</v>
      </c>
      <c r="DC47" s="88">
        <f>SUMIF($C$51:DC$51,"="&amp;YEAR(DC45),$C$46:DC$46)</f>
        <v>4993</v>
      </c>
      <c r="DD47" s="88">
        <f>SUMIF($C$51:DD$51,"="&amp;YEAR(DD45),$C$46:DD$46)</f>
        <v>5538</v>
      </c>
      <c r="DE47" s="88">
        <f>SUMIF($C$51:DE$51,"="&amp;YEAR(DE45),$C$46:DE$46)</f>
        <v>6083</v>
      </c>
      <c r="DF47" s="88">
        <f>SUMIF($C$51:DF$51,"="&amp;YEAR(DF45),$C$46:DF$46)</f>
        <v>6629</v>
      </c>
      <c r="DG47" s="88">
        <f>SUMIF($C$51:DG$51,"="&amp;YEAR(DG45),$C$46:DG$46)</f>
        <v>332</v>
      </c>
      <c r="DH47" s="88">
        <f>SUMIF($C$51:DH$51,"="&amp;YEAR(DH45),$C$46:DH$46)</f>
        <v>664</v>
      </c>
      <c r="DI47" s="88">
        <f>SUMIF($C$51:DI$51,"="&amp;YEAR(DI45),$C$46:DI$46)</f>
        <v>996</v>
      </c>
      <c r="DJ47" s="88">
        <f>SUMIF($C$51:DJ$51,"="&amp;YEAR(DJ45),$C$46:DJ$46)</f>
        <v>1437</v>
      </c>
      <c r="DK47" s="88">
        <f>SUMIF($C$51:DK$51,"="&amp;YEAR(DK45),$C$46:DK$46)</f>
        <v>1878</v>
      </c>
      <c r="DL47" s="88">
        <f>SUMIF($C$51:DL$51,"="&amp;YEAR(DL45),$C$46:DL$46)</f>
        <v>2319</v>
      </c>
      <c r="DM47" s="88">
        <f>SUMIF($C$51:DM$51,"="&amp;YEAR(DM45),$C$46:DM$46)</f>
        <v>2319</v>
      </c>
      <c r="DN47" s="88">
        <f>SUMIF($C$51:DN$51,"="&amp;YEAR(DN45),$C$46:DN$46)</f>
        <v>2319</v>
      </c>
      <c r="DO47" s="88">
        <f>SUMIF($C$51:DO$51,"="&amp;YEAR(DO45),$C$46:DO$46)</f>
        <v>2319</v>
      </c>
      <c r="DP47" s="88">
        <f>SUMIF($C$51:DP$51,"="&amp;YEAR(DP45),$C$46:DP$46)</f>
        <v>2319</v>
      </c>
      <c r="DQ47" s="88">
        <f>SUMIF($C$51:DQ$51,"="&amp;YEAR(DQ45),$C$46:DQ$46)</f>
        <v>2319</v>
      </c>
      <c r="DR47" s="88">
        <f>SUMIF($C$51:DR$51,"="&amp;YEAR(DR45),$C$46:DR$46)</f>
        <v>2319</v>
      </c>
      <c r="DS47" s="88">
        <f>SUMIF($C$51:DS$51,"="&amp;YEAR(DS45),$C$46:DS$46)</f>
        <v>0</v>
      </c>
      <c r="DT47" s="88">
        <f>SUMIF($C$51:DT$51,"="&amp;YEAR(DT45),$C$46:DT$46)</f>
        <v>0</v>
      </c>
      <c r="DU47" s="88">
        <f>SUMIF($C$51:DU$51,"="&amp;YEAR(DU45),$C$46:DU$46)</f>
        <v>0</v>
      </c>
    </row>
    <row r="48" spans="1:125">
      <c r="B48" s="87" t="s">
        <v>183</v>
      </c>
      <c r="C48" s="124"/>
      <c r="D48" s="124"/>
      <c r="E48" s="124"/>
      <c r="F48" s="124"/>
      <c r="G48" s="124"/>
      <c r="H48" s="124"/>
      <c r="I48" s="124"/>
      <c r="J48" s="124"/>
      <c r="K48" s="124"/>
      <c r="L48" s="124"/>
      <c r="M48" s="124"/>
      <c r="N48" s="124"/>
      <c r="O48" s="88">
        <f t="shared" ref="O48:S48" si="1110">SUM(D46:O46)</f>
        <v>0</v>
      </c>
      <c r="P48" s="88">
        <f t="shared" si="1110"/>
        <v>0</v>
      </c>
      <c r="Q48" s="88">
        <f t="shared" si="1110"/>
        <v>0</v>
      </c>
      <c r="R48" s="88">
        <f t="shared" si="1110"/>
        <v>0</v>
      </c>
      <c r="S48" s="88">
        <f t="shared" si="1110"/>
        <v>0</v>
      </c>
      <c r="T48" s="88">
        <f t="shared" ref="T48" si="1111">SUM(I46:T46)</f>
        <v>0</v>
      </c>
      <c r="U48" s="88">
        <f t="shared" ref="U48" si="1112">SUM(J46:U46)</f>
        <v>0</v>
      </c>
      <c r="V48" s="88">
        <f t="shared" ref="V48" si="1113">SUM(K46:V46)</f>
        <v>0</v>
      </c>
      <c r="W48" s="88">
        <f t="shared" ref="W48" si="1114">SUM(L46:W46)</f>
        <v>0</v>
      </c>
      <c r="X48" s="88">
        <f t="shared" ref="X48" si="1115">SUM(M46:X46)</f>
        <v>0</v>
      </c>
      <c r="Y48" s="88">
        <f t="shared" ref="Y48" si="1116">SUM(N46:Y46)</f>
        <v>0</v>
      </c>
      <c r="Z48" s="88">
        <f t="shared" ref="Z48" si="1117">SUM(O46:Z46)</f>
        <v>0</v>
      </c>
      <c r="AA48" s="88">
        <f t="shared" ref="AA48" si="1118">SUM(P46:AA46)</f>
        <v>0</v>
      </c>
      <c r="AB48" s="88">
        <f t="shared" ref="AB48" si="1119">SUM(Q46:AB46)</f>
        <v>0</v>
      </c>
      <c r="AC48" s="88">
        <f t="shared" ref="AC48" si="1120">SUM(R46:AC46)</f>
        <v>0</v>
      </c>
      <c r="AD48" s="88">
        <f t="shared" ref="AD48" si="1121">SUM(S46:AD46)</f>
        <v>0</v>
      </c>
      <c r="AE48" s="88">
        <f t="shared" ref="AE48" si="1122">SUM(T46:AE46)</f>
        <v>0</v>
      </c>
      <c r="AF48" s="88">
        <f t="shared" ref="AF48" si="1123">SUM(U46:AF46)</f>
        <v>0</v>
      </c>
      <c r="AG48" s="88">
        <f t="shared" ref="AG48" si="1124">SUM(V46:AG46)</f>
        <v>0</v>
      </c>
      <c r="AH48" s="88">
        <f t="shared" ref="AH48" si="1125">SUM(W46:AH46)</f>
        <v>0</v>
      </c>
      <c r="AI48" s="88">
        <f t="shared" ref="AI48" si="1126">SUM(X46:AI46)</f>
        <v>0</v>
      </c>
      <c r="AJ48" s="88">
        <f t="shared" ref="AJ48" si="1127">SUM(Y46:AJ46)</f>
        <v>0</v>
      </c>
      <c r="AK48" s="88">
        <f t="shared" ref="AK48" si="1128">SUM(Z46:AK46)</f>
        <v>0</v>
      </c>
      <c r="AL48" s="88">
        <f t="shared" ref="AL48" si="1129">SUM(AA46:AL46)</f>
        <v>0</v>
      </c>
      <c r="AM48" s="88">
        <f t="shared" ref="AM48" si="1130">SUM(AB46:AM46)</f>
        <v>0</v>
      </c>
      <c r="AN48" s="88">
        <f t="shared" ref="AN48" si="1131">SUM(AC46:AN46)</f>
        <v>0</v>
      </c>
      <c r="AO48" s="88">
        <f t="shared" ref="AO48" si="1132">SUM(AD46:AO46)</f>
        <v>0</v>
      </c>
      <c r="AP48" s="88">
        <f t="shared" ref="AP48" si="1133">SUM(AE46:AP46)</f>
        <v>0</v>
      </c>
      <c r="AQ48" s="88">
        <f t="shared" ref="AQ48" si="1134">SUM(AF46:AQ46)</f>
        <v>0</v>
      </c>
      <c r="AR48" s="88">
        <f t="shared" ref="AR48" si="1135">SUM(AG46:AR46)</f>
        <v>0</v>
      </c>
      <c r="AS48" s="88">
        <f t="shared" ref="AS48" si="1136">SUM(AH46:AS46)</f>
        <v>0</v>
      </c>
      <c r="AT48" s="88">
        <f t="shared" ref="AT48" si="1137">SUM(AI46:AT46)</f>
        <v>0</v>
      </c>
      <c r="AU48" s="88">
        <f t="shared" ref="AU48" si="1138">SUM(AJ46:AU46)</f>
        <v>0</v>
      </c>
      <c r="AV48" s="88">
        <f t="shared" ref="AV48" si="1139">SUM(AK46:AV46)</f>
        <v>0</v>
      </c>
      <c r="AW48" s="88">
        <f t="shared" ref="AW48" si="1140">SUM(AL46:AW46)</f>
        <v>0</v>
      </c>
      <c r="AX48" s="88">
        <f t="shared" ref="AX48" si="1141">SUM(AM46:AX46)</f>
        <v>0</v>
      </c>
      <c r="AY48" s="88">
        <f t="shared" ref="AY48" si="1142">SUM(AN46:AY46)</f>
        <v>0</v>
      </c>
      <c r="AZ48" s="88">
        <f t="shared" ref="AZ48" si="1143">SUM(AO46:AZ46)</f>
        <v>0</v>
      </c>
      <c r="BA48" s="88">
        <f t="shared" ref="BA48" si="1144">SUM(AP46:BA46)</f>
        <v>0</v>
      </c>
      <c r="BB48" s="88">
        <f t="shared" ref="BB48" si="1145">SUM(AQ46:BB46)</f>
        <v>0</v>
      </c>
      <c r="BC48" s="88">
        <f t="shared" ref="BC48" si="1146">SUM(AR46:BC46)</f>
        <v>0</v>
      </c>
      <c r="BD48" s="88">
        <f t="shared" ref="BD48" si="1147">SUM(AS46:BD46)</f>
        <v>0</v>
      </c>
      <c r="BE48" s="88">
        <f t="shared" ref="BE48" si="1148">SUM(AT46:BE46)</f>
        <v>0</v>
      </c>
      <c r="BF48" s="88">
        <f t="shared" ref="BF48" si="1149">SUM(AU46:BF46)</f>
        <v>0</v>
      </c>
      <c r="BG48" s="88">
        <f t="shared" ref="BG48" si="1150">SUM(AV46:BG46)</f>
        <v>0</v>
      </c>
      <c r="BH48" s="88">
        <f t="shared" ref="BH48" si="1151">SUM(AW46:BH46)</f>
        <v>0</v>
      </c>
      <c r="BI48" s="88">
        <f t="shared" ref="BI48" si="1152">SUM(AX46:BI46)</f>
        <v>0</v>
      </c>
      <c r="BJ48" s="88">
        <f t="shared" ref="BJ48" si="1153">SUM(AY46:BJ46)</f>
        <v>0</v>
      </c>
      <c r="BK48" s="88">
        <f t="shared" ref="BK48" si="1154">SUM(AZ46:BK46)</f>
        <v>0</v>
      </c>
      <c r="BL48" s="88">
        <f t="shared" ref="BL48" si="1155">SUM(BA46:BL46)</f>
        <v>0</v>
      </c>
      <c r="BM48" s="88">
        <f t="shared" ref="BM48" si="1156">SUM(BB46:BM46)</f>
        <v>0</v>
      </c>
      <c r="BN48" s="88">
        <f t="shared" ref="BN48" si="1157">SUM(BC46:BN46)</f>
        <v>0</v>
      </c>
      <c r="BO48" s="88">
        <f t="shared" ref="BO48" si="1158">SUM(BD46:BO46)</f>
        <v>0</v>
      </c>
      <c r="BP48" s="88">
        <f t="shared" ref="BP48" si="1159">SUM(BE46:BP46)</f>
        <v>0</v>
      </c>
      <c r="BQ48" s="88">
        <f t="shared" ref="BQ48" si="1160">SUM(BF46:BQ46)</f>
        <v>0</v>
      </c>
      <c r="BR48" s="88">
        <f t="shared" ref="BR48" si="1161">SUM(BG46:BR46)</f>
        <v>0</v>
      </c>
      <c r="BS48" s="88">
        <f t="shared" ref="BS48" si="1162">SUM(BH46:BS46)</f>
        <v>0</v>
      </c>
      <c r="BT48" s="88">
        <f t="shared" ref="BT48" si="1163">SUM(BI46:BT46)</f>
        <v>0</v>
      </c>
      <c r="BU48" s="88">
        <f t="shared" ref="BU48" si="1164">SUM(BJ46:BU46)</f>
        <v>0</v>
      </c>
      <c r="BV48" s="88">
        <f t="shared" ref="BV48" si="1165">SUM(BK46:BV46)</f>
        <v>0</v>
      </c>
      <c r="BW48" s="88">
        <f t="shared" ref="BW48" si="1166">SUM(BL46:BW46)</f>
        <v>0</v>
      </c>
      <c r="BX48" s="88">
        <f t="shared" ref="BX48" si="1167">SUM(BM46:BX46)</f>
        <v>0</v>
      </c>
      <c r="BY48" s="88">
        <f t="shared" ref="BY48" si="1168">SUM(BN46:BY46)</f>
        <v>0</v>
      </c>
      <c r="BZ48" s="88">
        <f t="shared" ref="BZ48" si="1169">SUM(BO46:BZ46)</f>
        <v>0</v>
      </c>
      <c r="CA48" s="88">
        <f t="shared" ref="CA48" si="1170">SUM(BP46:CA46)</f>
        <v>0</v>
      </c>
      <c r="CB48" s="88">
        <f t="shared" ref="CB48" si="1171">SUM(BQ46:CB46)</f>
        <v>0</v>
      </c>
      <c r="CC48" s="88">
        <f t="shared" ref="CC48" si="1172">SUM(BR46:CC46)</f>
        <v>0</v>
      </c>
      <c r="CD48" s="88">
        <f t="shared" ref="CD48" si="1173">SUM(BS46:CD46)</f>
        <v>0</v>
      </c>
      <c r="CE48" s="88">
        <f t="shared" ref="CE48" si="1174">SUM(BT46:CE46)</f>
        <v>0</v>
      </c>
      <c r="CF48" s="88">
        <f t="shared" ref="CF48" si="1175">SUM(BU46:CF46)</f>
        <v>0</v>
      </c>
      <c r="CG48" s="88">
        <f t="shared" ref="CG48" si="1176">SUM(BV46:CG46)</f>
        <v>0</v>
      </c>
      <c r="CH48" s="88">
        <f t="shared" ref="CH48" si="1177">SUM(BW46:CH46)</f>
        <v>0</v>
      </c>
      <c r="CI48" s="88">
        <f t="shared" ref="CI48" si="1178">SUM(BX46:CI46)</f>
        <v>0</v>
      </c>
      <c r="CJ48" s="88">
        <f t="shared" ref="CJ48" si="1179">SUM(BY46:CJ46)</f>
        <v>0</v>
      </c>
      <c r="CK48" s="88">
        <f t="shared" ref="CK48" si="1180">SUM(BZ46:CK46)</f>
        <v>0</v>
      </c>
      <c r="CL48" s="88">
        <f t="shared" ref="CL48" si="1181">SUM(CA46:CL46)</f>
        <v>0</v>
      </c>
      <c r="CM48" s="88">
        <f t="shared" ref="CM48" si="1182">SUM(CB46:CM46)</f>
        <v>0</v>
      </c>
      <c r="CN48" s="88">
        <f t="shared" ref="CN48" si="1183">SUM(CC46:CN46)</f>
        <v>0</v>
      </c>
      <c r="CO48" s="88">
        <f t="shared" ref="CO48" si="1184">SUM(CD46:CO46)</f>
        <v>0</v>
      </c>
      <c r="CP48" s="88">
        <f t="shared" ref="CP48" si="1185">SUM(CE46:CP46)</f>
        <v>0</v>
      </c>
      <c r="CQ48" s="88">
        <f t="shared" ref="CQ48" si="1186">SUM(CF46:CQ46)</f>
        <v>0</v>
      </c>
      <c r="CR48" s="88">
        <f t="shared" ref="CR48" si="1187">SUM(CG46:CR46)</f>
        <v>0</v>
      </c>
      <c r="CS48" s="88">
        <f t="shared" ref="CS48" si="1188">SUM(CH46:CS46)</f>
        <v>0</v>
      </c>
      <c r="CT48" s="88">
        <f t="shared" ref="CT48" si="1189">SUM(CI46:CT46)</f>
        <v>0</v>
      </c>
      <c r="CU48" s="88">
        <f t="shared" ref="CU48" si="1190">SUM(CJ46:CU46)</f>
        <v>609.33333333333337</v>
      </c>
      <c r="CV48" s="88">
        <f t="shared" ref="CV48" si="1191">SUM(CK46:CV46)</f>
        <v>1218.6666666666667</v>
      </c>
      <c r="CW48" s="88">
        <f t="shared" ref="CW48" si="1192">SUM(CL46:CW46)</f>
        <v>1828</v>
      </c>
      <c r="CX48" s="88">
        <f t="shared" ref="CX48" si="1193">SUM(CM46:CX46)</f>
        <v>2399</v>
      </c>
      <c r="CY48" s="88">
        <f t="shared" ref="CY48" si="1194">SUM(CN46:CY46)</f>
        <v>2970</v>
      </c>
      <c r="CZ48" s="88">
        <f t="shared" ref="CZ48" si="1195">SUM(CO46:CZ46)</f>
        <v>3541</v>
      </c>
      <c r="DA48" s="88">
        <f t="shared" ref="DA48" si="1196">SUM(CP46:DA46)</f>
        <v>4025</v>
      </c>
      <c r="DB48" s="88">
        <f t="shared" ref="DB48" si="1197">SUM(CQ46:DB46)</f>
        <v>4509</v>
      </c>
      <c r="DC48" s="88">
        <f t="shared" ref="DC48" si="1198">SUM(CR46:DC46)</f>
        <v>4993</v>
      </c>
      <c r="DD48" s="88">
        <f t="shared" ref="DD48" si="1199">SUM(CS46:DD46)</f>
        <v>5538</v>
      </c>
      <c r="DE48" s="88">
        <f t="shared" ref="DE48" si="1200">SUM(CT46:DE46)</f>
        <v>6083</v>
      </c>
      <c r="DF48" s="88">
        <f t="shared" ref="DF48" si="1201">SUM(CU46:DF46)</f>
        <v>6629</v>
      </c>
      <c r="DG48" s="88">
        <f t="shared" ref="DG48" si="1202">SUM(CV46:DG46)</f>
        <v>6351.666666666667</v>
      </c>
      <c r="DH48" s="88">
        <f t="shared" ref="DH48" si="1203">SUM(CW46:DH46)</f>
        <v>6074.3333333333339</v>
      </c>
      <c r="DI48" s="88">
        <f t="shared" ref="DI48" si="1204">SUM(CX46:DI46)</f>
        <v>5797</v>
      </c>
      <c r="DJ48" s="88">
        <f t="shared" ref="DJ48" si="1205">SUM(CY46:DJ46)</f>
        <v>5667</v>
      </c>
      <c r="DK48" s="88">
        <f t="shared" ref="DK48" si="1206">SUM(CZ46:DK46)</f>
        <v>5537</v>
      </c>
      <c r="DL48" s="88">
        <f t="shared" ref="DL48" si="1207">SUM(DA46:DL46)</f>
        <v>5407</v>
      </c>
      <c r="DM48" s="88">
        <f t="shared" ref="DM48" si="1208">SUM(DB46:DM46)</f>
        <v>4923</v>
      </c>
      <c r="DN48" s="88">
        <f t="shared" ref="DN48" si="1209">SUM(DC46:DN46)</f>
        <v>4439</v>
      </c>
      <c r="DO48" s="88">
        <f t="shared" ref="DO48" si="1210">SUM(DD46:DO46)</f>
        <v>3955</v>
      </c>
      <c r="DP48" s="88">
        <f t="shared" ref="DP48" si="1211">SUM(DE46:DP46)</f>
        <v>3410</v>
      </c>
      <c r="DQ48" s="88">
        <f t="shared" ref="DQ48" si="1212">SUM(DF46:DQ46)</f>
        <v>2865</v>
      </c>
      <c r="DR48" s="88">
        <f t="shared" ref="DR48" si="1213">SUM(DG46:DR46)</f>
        <v>2319</v>
      </c>
      <c r="DS48" s="88">
        <f t="shared" ref="DS48" si="1214">SUM(DH46:DS46)</f>
        <v>1987</v>
      </c>
      <c r="DT48" s="88">
        <f t="shared" ref="DT48:DU48" si="1215">SUM(DI46:DT46)</f>
        <v>1655</v>
      </c>
      <c r="DU48" s="88">
        <f t="shared" si="1215"/>
        <v>1323</v>
      </c>
    </row>
    <row r="49" spans="2:125">
      <c r="B49" s="87" t="s">
        <v>50</v>
      </c>
      <c r="C49" s="88" t="e">
        <f>C48/C44</f>
        <v>#DIV/0!</v>
      </c>
      <c r="D49" s="88" t="e">
        <f t="shared" ref="D49:N49" si="1216">D48/D44</f>
        <v>#DIV/0!</v>
      </c>
      <c r="E49" s="88" t="e">
        <f t="shared" si="1216"/>
        <v>#DIV/0!</v>
      </c>
      <c r="F49" s="88" t="e">
        <f t="shared" si="1216"/>
        <v>#DIV/0!</v>
      </c>
      <c r="G49" s="88" t="e">
        <f t="shared" si="1216"/>
        <v>#DIV/0!</v>
      </c>
      <c r="H49" s="88" t="e">
        <f t="shared" si="1216"/>
        <v>#DIV/0!</v>
      </c>
      <c r="I49" s="88" t="e">
        <f t="shared" si="1216"/>
        <v>#DIV/0!</v>
      </c>
      <c r="J49" s="88" t="e">
        <f t="shared" si="1216"/>
        <v>#DIV/0!</v>
      </c>
      <c r="K49" s="88" t="e">
        <f t="shared" si="1216"/>
        <v>#DIV/0!</v>
      </c>
      <c r="L49" s="88" t="e">
        <f t="shared" si="1216"/>
        <v>#DIV/0!</v>
      </c>
      <c r="M49" s="88" t="e">
        <f t="shared" si="1216"/>
        <v>#DIV/0!</v>
      </c>
      <c r="N49" s="88" t="e">
        <f t="shared" si="1216"/>
        <v>#DIV/0!</v>
      </c>
      <c r="O49" s="366">
        <f>O48/O44</f>
        <v>0</v>
      </c>
      <c r="P49" s="366">
        <f t="shared" ref="P49:AB49" si="1217">P48/P44</f>
        <v>0</v>
      </c>
      <c r="Q49" s="366">
        <f t="shared" si="1217"/>
        <v>0</v>
      </c>
      <c r="R49" s="366">
        <f t="shared" si="1217"/>
        <v>0</v>
      </c>
      <c r="S49" s="366">
        <f t="shared" si="1217"/>
        <v>0</v>
      </c>
      <c r="T49" s="366">
        <f t="shared" si="1217"/>
        <v>0</v>
      </c>
      <c r="U49" s="366">
        <f t="shared" si="1217"/>
        <v>0</v>
      </c>
      <c r="V49" s="366">
        <f t="shared" si="1217"/>
        <v>0</v>
      </c>
      <c r="W49" s="366">
        <f t="shared" si="1217"/>
        <v>0</v>
      </c>
      <c r="X49" s="366">
        <f t="shared" si="1217"/>
        <v>0</v>
      </c>
      <c r="Y49" s="366">
        <f t="shared" si="1217"/>
        <v>0</v>
      </c>
      <c r="Z49" s="366">
        <f t="shared" si="1217"/>
        <v>0</v>
      </c>
      <c r="AA49" s="366">
        <f t="shared" si="1217"/>
        <v>0</v>
      </c>
      <c r="AB49" s="366">
        <f t="shared" si="1217"/>
        <v>0</v>
      </c>
      <c r="AC49" s="366">
        <f t="shared" ref="AC49:CN49" si="1218">AC48/AC44</f>
        <v>0</v>
      </c>
      <c r="AD49" s="366">
        <f t="shared" si="1218"/>
        <v>0</v>
      </c>
      <c r="AE49" s="366">
        <f t="shared" si="1218"/>
        <v>0</v>
      </c>
      <c r="AF49" s="366">
        <f t="shared" si="1218"/>
        <v>0</v>
      </c>
      <c r="AG49" s="366">
        <f t="shared" si="1218"/>
        <v>0</v>
      </c>
      <c r="AH49" s="366">
        <f t="shared" si="1218"/>
        <v>0</v>
      </c>
      <c r="AI49" s="366">
        <f t="shared" si="1218"/>
        <v>0</v>
      </c>
      <c r="AJ49" s="366">
        <f t="shared" si="1218"/>
        <v>0</v>
      </c>
      <c r="AK49" s="366">
        <f t="shared" si="1218"/>
        <v>0</v>
      </c>
      <c r="AL49" s="366">
        <f t="shared" si="1218"/>
        <v>0</v>
      </c>
      <c r="AM49" s="366">
        <f t="shared" si="1218"/>
        <v>0</v>
      </c>
      <c r="AN49" s="366">
        <f t="shared" si="1218"/>
        <v>0</v>
      </c>
      <c r="AO49" s="366">
        <f t="shared" si="1218"/>
        <v>0</v>
      </c>
      <c r="AP49" s="366">
        <f t="shared" si="1218"/>
        <v>0</v>
      </c>
      <c r="AQ49" s="366">
        <f t="shared" si="1218"/>
        <v>0</v>
      </c>
      <c r="AR49" s="366">
        <f t="shared" si="1218"/>
        <v>0</v>
      </c>
      <c r="AS49" s="366">
        <f t="shared" si="1218"/>
        <v>0</v>
      </c>
      <c r="AT49" s="366">
        <f t="shared" si="1218"/>
        <v>0</v>
      </c>
      <c r="AU49" s="366">
        <f t="shared" si="1218"/>
        <v>0</v>
      </c>
      <c r="AV49" s="366">
        <f t="shared" si="1218"/>
        <v>0</v>
      </c>
      <c r="AW49" s="366">
        <f t="shared" si="1218"/>
        <v>0</v>
      </c>
      <c r="AX49" s="366">
        <f t="shared" si="1218"/>
        <v>0</v>
      </c>
      <c r="AY49" s="366">
        <f t="shared" si="1218"/>
        <v>0</v>
      </c>
      <c r="AZ49" s="366">
        <f t="shared" si="1218"/>
        <v>0</v>
      </c>
      <c r="BA49" s="366">
        <f t="shared" si="1218"/>
        <v>0</v>
      </c>
      <c r="BB49" s="366">
        <f t="shared" si="1218"/>
        <v>0</v>
      </c>
      <c r="BC49" s="366">
        <f t="shared" si="1218"/>
        <v>0</v>
      </c>
      <c r="BD49" s="366">
        <f t="shared" si="1218"/>
        <v>0</v>
      </c>
      <c r="BE49" s="366">
        <f t="shared" si="1218"/>
        <v>0</v>
      </c>
      <c r="BF49" s="366">
        <f t="shared" si="1218"/>
        <v>0</v>
      </c>
      <c r="BG49" s="366">
        <f t="shared" si="1218"/>
        <v>0</v>
      </c>
      <c r="BH49" s="366">
        <f t="shared" si="1218"/>
        <v>0</v>
      </c>
      <c r="BI49" s="366">
        <f t="shared" si="1218"/>
        <v>0</v>
      </c>
      <c r="BJ49" s="366">
        <f t="shared" si="1218"/>
        <v>0</v>
      </c>
      <c r="BK49" s="366">
        <f t="shared" si="1218"/>
        <v>0</v>
      </c>
      <c r="BL49" s="366">
        <f t="shared" si="1218"/>
        <v>0</v>
      </c>
      <c r="BM49" s="366">
        <f t="shared" si="1218"/>
        <v>0</v>
      </c>
      <c r="BN49" s="366">
        <f t="shared" si="1218"/>
        <v>0</v>
      </c>
      <c r="BO49" s="366">
        <f t="shared" si="1218"/>
        <v>0</v>
      </c>
      <c r="BP49" s="366">
        <f t="shared" si="1218"/>
        <v>0</v>
      </c>
      <c r="BQ49" s="366">
        <f t="shared" si="1218"/>
        <v>0</v>
      </c>
      <c r="BR49" s="366">
        <f t="shared" si="1218"/>
        <v>0</v>
      </c>
      <c r="BS49" s="366">
        <f t="shared" si="1218"/>
        <v>0</v>
      </c>
      <c r="BT49" s="366">
        <f t="shared" si="1218"/>
        <v>0</v>
      </c>
      <c r="BU49" s="366">
        <f t="shared" si="1218"/>
        <v>0</v>
      </c>
      <c r="BV49" s="366">
        <f t="shared" si="1218"/>
        <v>0</v>
      </c>
      <c r="BW49" s="366">
        <f t="shared" si="1218"/>
        <v>0</v>
      </c>
      <c r="BX49" s="366">
        <f t="shared" si="1218"/>
        <v>0</v>
      </c>
      <c r="BY49" s="366">
        <f t="shared" si="1218"/>
        <v>0</v>
      </c>
      <c r="BZ49" s="366">
        <f t="shared" si="1218"/>
        <v>0</v>
      </c>
      <c r="CA49" s="366">
        <f t="shared" si="1218"/>
        <v>0</v>
      </c>
      <c r="CB49" s="366">
        <f t="shared" si="1218"/>
        <v>0</v>
      </c>
      <c r="CC49" s="366">
        <f t="shared" si="1218"/>
        <v>0</v>
      </c>
      <c r="CD49" s="366">
        <f t="shared" si="1218"/>
        <v>0</v>
      </c>
      <c r="CE49" s="366">
        <f t="shared" si="1218"/>
        <v>0</v>
      </c>
      <c r="CF49" s="366">
        <f t="shared" si="1218"/>
        <v>0</v>
      </c>
      <c r="CG49" s="366">
        <f t="shared" si="1218"/>
        <v>0</v>
      </c>
      <c r="CH49" s="366">
        <f t="shared" si="1218"/>
        <v>0</v>
      </c>
      <c r="CI49" s="366">
        <f t="shared" si="1218"/>
        <v>0</v>
      </c>
      <c r="CJ49" s="366">
        <f t="shared" si="1218"/>
        <v>0</v>
      </c>
      <c r="CK49" s="366">
        <f t="shared" si="1218"/>
        <v>0</v>
      </c>
      <c r="CL49" s="366">
        <f t="shared" si="1218"/>
        <v>0</v>
      </c>
      <c r="CM49" s="366">
        <f t="shared" si="1218"/>
        <v>0</v>
      </c>
      <c r="CN49" s="366">
        <f t="shared" si="1218"/>
        <v>0</v>
      </c>
      <c r="CO49" s="366">
        <f t="shared" ref="CO49:CX49" si="1219">CO48/CO44</f>
        <v>0</v>
      </c>
      <c r="CP49" s="366">
        <f t="shared" si="1219"/>
        <v>0</v>
      </c>
      <c r="CQ49" s="366">
        <f t="shared" si="1219"/>
        <v>0</v>
      </c>
      <c r="CR49" s="366">
        <f t="shared" si="1219"/>
        <v>0</v>
      </c>
      <c r="CS49" s="366">
        <f t="shared" si="1219"/>
        <v>0</v>
      </c>
      <c r="CT49" s="366">
        <f t="shared" si="1219"/>
        <v>0</v>
      </c>
      <c r="CU49" s="366">
        <f t="shared" si="1219"/>
        <v>7.1686274509803924</v>
      </c>
      <c r="CV49" s="366">
        <f t="shared" si="1219"/>
        <v>14.170542635658915</v>
      </c>
      <c r="CW49" s="366">
        <f t="shared" si="1219"/>
        <v>21.011494252873565</v>
      </c>
      <c r="CX49" s="366">
        <f t="shared" si="1219"/>
        <v>27.261363636363637</v>
      </c>
      <c r="CY49" s="366">
        <f t="shared" ref="CY49:DT49" si="1220">CY48/CY44</f>
        <v>33.370786516853933</v>
      </c>
      <c r="CZ49" s="366">
        <f t="shared" si="1220"/>
        <v>39.344444444444441</v>
      </c>
      <c r="DA49" s="366">
        <f t="shared" si="1220"/>
        <v>44.230769230769234</v>
      </c>
      <c r="DB49" s="366">
        <f t="shared" si="1220"/>
        <v>49.010869565217391</v>
      </c>
      <c r="DC49" s="366">
        <f t="shared" si="1220"/>
        <v>53.688172043010752</v>
      </c>
      <c r="DD49" s="366">
        <f t="shared" si="1220"/>
        <v>58.914893617021278</v>
      </c>
      <c r="DE49" s="366">
        <f t="shared" si="1220"/>
        <v>64.031578947368416</v>
      </c>
      <c r="DF49" s="366">
        <f t="shared" si="1220"/>
        <v>69.052083333333329</v>
      </c>
      <c r="DG49" s="366">
        <f t="shared" si="1220"/>
        <v>65.481099656357387</v>
      </c>
      <c r="DH49" s="366">
        <f t="shared" si="1220"/>
        <v>61.982993197278915</v>
      </c>
      <c r="DI49" s="366">
        <f t="shared" si="1220"/>
        <v>58.555555555555557</v>
      </c>
      <c r="DJ49" s="366">
        <f t="shared" si="1220"/>
        <v>56.67</v>
      </c>
      <c r="DK49" s="366">
        <f t="shared" si="1220"/>
        <v>54.821782178217823</v>
      </c>
      <c r="DL49" s="366">
        <f t="shared" si="1220"/>
        <v>53.009803921568626</v>
      </c>
      <c r="DM49" s="366">
        <f t="shared" si="1220"/>
        <v>47.796116504854368</v>
      </c>
      <c r="DN49" s="366">
        <f t="shared" si="1220"/>
        <v>42.682692307692307</v>
      </c>
      <c r="DO49" s="366">
        <f t="shared" si="1220"/>
        <v>37.666666666666664</v>
      </c>
      <c r="DP49" s="366">
        <f t="shared" si="1220"/>
        <v>32.169811320754718</v>
      </c>
      <c r="DQ49" s="366">
        <f t="shared" si="1220"/>
        <v>26.77570093457944</v>
      </c>
      <c r="DR49" s="366">
        <f t="shared" si="1220"/>
        <v>21.472222222222221</v>
      </c>
      <c r="DS49" s="366">
        <f t="shared" si="1220"/>
        <v>18.229357798165136</v>
      </c>
      <c r="DT49" s="366">
        <f t="shared" si="1220"/>
        <v>15.045454545454545</v>
      </c>
      <c r="DU49" s="366">
        <f t="shared" ref="DU49" si="1221">DU48/DU44</f>
        <v>11.918918918918919</v>
      </c>
    </row>
    <row r="51" spans="2:125" outlineLevel="1">
      <c r="C51" s="108">
        <f>YEAR(C52)</f>
        <v>2016</v>
      </c>
      <c r="D51" s="108">
        <f t="shared" ref="D51:CE51" si="1222">YEAR(D52)</f>
        <v>2016</v>
      </c>
      <c r="E51" s="108">
        <f t="shared" si="1222"/>
        <v>2016</v>
      </c>
      <c r="F51" s="108">
        <f t="shared" si="1222"/>
        <v>2016</v>
      </c>
      <c r="G51" s="108">
        <f t="shared" si="1222"/>
        <v>2016</v>
      </c>
      <c r="H51" s="108">
        <f t="shared" si="1222"/>
        <v>2016</v>
      </c>
      <c r="I51" s="108">
        <f t="shared" si="1222"/>
        <v>2016</v>
      </c>
      <c r="J51" s="108">
        <f t="shared" si="1222"/>
        <v>2016</v>
      </c>
      <c r="K51" s="108">
        <f t="shared" si="1222"/>
        <v>2016</v>
      </c>
      <c r="L51" s="108">
        <f t="shared" si="1222"/>
        <v>2016</v>
      </c>
      <c r="M51" s="108">
        <f t="shared" si="1222"/>
        <v>2016</v>
      </c>
      <c r="N51" s="108">
        <f t="shared" si="1222"/>
        <v>2016</v>
      </c>
      <c r="O51" s="108">
        <f t="shared" si="1222"/>
        <v>2017</v>
      </c>
      <c r="P51" s="108">
        <f t="shared" si="1222"/>
        <v>2017</v>
      </c>
      <c r="Q51" s="108">
        <f t="shared" si="1222"/>
        <v>2017</v>
      </c>
      <c r="R51" s="108">
        <f t="shared" si="1222"/>
        <v>2017</v>
      </c>
      <c r="S51" s="108">
        <f t="shared" si="1222"/>
        <v>2017</v>
      </c>
      <c r="T51" s="108">
        <f t="shared" si="1222"/>
        <v>2017</v>
      </c>
      <c r="U51" s="108">
        <f t="shared" si="1222"/>
        <v>2017</v>
      </c>
      <c r="V51" s="108">
        <f t="shared" si="1222"/>
        <v>2017</v>
      </c>
      <c r="W51" s="108">
        <f t="shared" si="1222"/>
        <v>2017</v>
      </c>
      <c r="X51" s="108">
        <f t="shared" si="1222"/>
        <v>2017</v>
      </c>
      <c r="Y51" s="108">
        <f t="shared" si="1222"/>
        <v>2017</v>
      </c>
      <c r="Z51" s="108">
        <f t="shared" si="1222"/>
        <v>2017</v>
      </c>
      <c r="AA51" s="108">
        <f t="shared" si="1222"/>
        <v>2018</v>
      </c>
      <c r="AB51" s="108">
        <f t="shared" si="1222"/>
        <v>2018</v>
      </c>
      <c r="AC51" s="108">
        <f t="shared" si="1222"/>
        <v>2018</v>
      </c>
      <c r="AD51" s="108">
        <f t="shared" si="1222"/>
        <v>2018</v>
      </c>
      <c r="AE51" s="108">
        <f t="shared" si="1222"/>
        <v>2018</v>
      </c>
      <c r="AF51" s="108">
        <f t="shared" si="1222"/>
        <v>2018</v>
      </c>
      <c r="AG51" s="108">
        <f t="shared" si="1222"/>
        <v>2018</v>
      </c>
      <c r="AH51" s="108">
        <f t="shared" si="1222"/>
        <v>2018</v>
      </c>
      <c r="AI51" s="108">
        <f t="shared" si="1222"/>
        <v>2018</v>
      </c>
      <c r="AJ51" s="108">
        <f t="shared" si="1222"/>
        <v>2018</v>
      </c>
      <c r="AK51" s="108">
        <f t="shared" si="1222"/>
        <v>2018</v>
      </c>
      <c r="AL51" s="108">
        <f t="shared" si="1222"/>
        <v>2018</v>
      </c>
      <c r="AM51" s="108">
        <f t="shared" si="1222"/>
        <v>2019</v>
      </c>
      <c r="AN51" s="108">
        <f t="shared" si="1222"/>
        <v>2019</v>
      </c>
      <c r="AO51" s="108">
        <f t="shared" si="1222"/>
        <v>2019</v>
      </c>
      <c r="AP51" s="108">
        <f t="shared" si="1222"/>
        <v>2019</v>
      </c>
      <c r="AQ51" s="108">
        <f t="shared" si="1222"/>
        <v>2019</v>
      </c>
      <c r="AR51" s="108">
        <f t="shared" si="1222"/>
        <v>2019</v>
      </c>
      <c r="AS51" s="108">
        <f t="shared" si="1222"/>
        <v>2019</v>
      </c>
      <c r="AT51" s="108">
        <f t="shared" si="1222"/>
        <v>2019</v>
      </c>
      <c r="AU51" s="108">
        <f t="shared" si="1222"/>
        <v>2019</v>
      </c>
      <c r="AV51" s="108">
        <f t="shared" si="1222"/>
        <v>2019</v>
      </c>
      <c r="AW51" s="108">
        <f t="shared" si="1222"/>
        <v>2019</v>
      </c>
      <c r="AX51" s="108">
        <f t="shared" si="1222"/>
        <v>2019</v>
      </c>
      <c r="AY51" s="108">
        <f t="shared" si="1222"/>
        <v>2020</v>
      </c>
      <c r="AZ51" s="108">
        <f t="shared" si="1222"/>
        <v>2020</v>
      </c>
      <c r="BA51" s="108">
        <f t="shared" si="1222"/>
        <v>2020</v>
      </c>
      <c r="BB51" s="108">
        <f t="shared" si="1222"/>
        <v>2020</v>
      </c>
      <c r="BC51" s="108">
        <f t="shared" si="1222"/>
        <v>2020</v>
      </c>
      <c r="BD51" s="108">
        <f t="shared" si="1222"/>
        <v>2020</v>
      </c>
      <c r="BE51" s="108">
        <f t="shared" si="1222"/>
        <v>2020</v>
      </c>
      <c r="BF51" s="108">
        <f t="shared" si="1222"/>
        <v>2020</v>
      </c>
      <c r="BG51" s="108">
        <f t="shared" si="1222"/>
        <v>2020</v>
      </c>
      <c r="BH51" s="108">
        <f t="shared" si="1222"/>
        <v>2020</v>
      </c>
      <c r="BI51" s="108">
        <f t="shared" si="1222"/>
        <v>2020</v>
      </c>
      <c r="BJ51" s="108">
        <f t="shared" si="1222"/>
        <v>2020</v>
      </c>
      <c r="BK51" s="108">
        <f t="shared" si="1222"/>
        <v>2021</v>
      </c>
      <c r="BL51" s="108">
        <f t="shared" si="1222"/>
        <v>2021</v>
      </c>
      <c r="BM51" s="108">
        <f t="shared" si="1222"/>
        <v>2021</v>
      </c>
      <c r="BN51" s="108">
        <f t="shared" si="1222"/>
        <v>2021</v>
      </c>
      <c r="BO51" s="108">
        <f t="shared" si="1222"/>
        <v>2021</v>
      </c>
      <c r="BP51" s="108">
        <f t="shared" si="1222"/>
        <v>2021</v>
      </c>
      <c r="BQ51" s="108">
        <f t="shared" si="1222"/>
        <v>2021</v>
      </c>
      <c r="BR51" s="108">
        <f t="shared" si="1222"/>
        <v>2021</v>
      </c>
      <c r="BS51" s="108">
        <f t="shared" si="1222"/>
        <v>2021</v>
      </c>
      <c r="BT51" s="108">
        <f t="shared" si="1222"/>
        <v>2021</v>
      </c>
      <c r="BU51" s="108">
        <f t="shared" si="1222"/>
        <v>2021</v>
      </c>
      <c r="BV51" s="108">
        <f t="shared" si="1222"/>
        <v>2021</v>
      </c>
      <c r="BW51" s="108">
        <f t="shared" si="1222"/>
        <v>2022</v>
      </c>
      <c r="BX51" s="108">
        <f t="shared" si="1222"/>
        <v>2022</v>
      </c>
      <c r="BY51" s="108">
        <f t="shared" si="1222"/>
        <v>2022</v>
      </c>
      <c r="BZ51" s="108">
        <f t="shared" si="1222"/>
        <v>2022</v>
      </c>
      <c r="CA51" s="108">
        <f t="shared" si="1222"/>
        <v>2022</v>
      </c>
      <c r="CB51" s="108">
        <f t="shared" si="1222"/>
        <v>2022</v>
      </c>
      <c r="CC51" s="108">
        <f t="shared" si="1222"/>
        <v>2022</v>
      </c>
      <c r="CD51" s="108">
        <f t="shared" si="1222"/>
        <v>2022</v>
      </c>
      <c r="CE51" s="108">
        <f t="shared" si="1222"/>
        <v>2022</v>
      </c>
      <c r="CF51" s="108">
        <f t="shared" ref="CF51:DU51" si="1223">YEAR(CF52)</f>
        <v>2022</v>
      </c>
      <c r="CG51" s="108">
        <f t="shared" si="1223"/>
        <v>2022</v>
      </c>
      <c r="CH51" s="108">
        <f t="shared" si="1223"/>
        <v>2022</v>
      </c>
      <c r="CI51" s="108">
        <f t="shared" si="1223"/>
        <v>2023</v>
      </c>
      <c r="CJ51" s="108">
        <f t="shared" si="1223"/>
        <v>2023</v>
      </c>
      <c r="CK51" s="108">
        <f t="shared" si="1223"/>
        <v>2023</v>
      </c>
      <c r="CL51" s="108">
        <f t="shared" si="1223"/>
        <v>2023</v>
      </c>
      <c r="CM51" s="108">
        <f t="shared" si="1223"/>
        <v>2023</v>
      </c>
      <c r="CN51" s="108">
        <f t="shared" si="1223"/>
        <v>2023</v>
      </c>
      <c r="CO51" s="108">
        <f t="shared" si="1223"/>
        <v>2023</v>
      </c>
      <c r="CP51" s="108">
        <f t="shared" si="1223"/>
        <v>2023</v>
      </c>
      <c r="CQ51" s="108">
        <f t="shared" si="1223"/>
        <v>2023</v>
      </c>
      <c r="CR51" s="108">
        <f t="shared" si="1223"/>
        <v>2023</v>
      </c>
      <c r="CS51" s="108">
        <f t="shared" si="1223"/>
        <v>2023</v>
      </c>
      <c r="CT51" s="108">
        <f t="shared" si="1223"/>
        <v>2023</v>
      </c>
      <c r="CU51" s="108">
        <f t="shared" si="1223"/>
        <v>2024</v>
      </c>
      <c r="CV51" s="108">
        <f t="shared" si="1223"/>
        <v>2024</v>
      </c>
      <c r="CW51" s="108">
        <f t="shared" si="1223"/>
        <v>2024</v>
      </c>
      <c r="CX51" s="108">
        <f t="shared" si="1223"/>
        <v>2024</v>
      </c>
      <c r="CY51" s="108">
        <f t="shared" si="1223"/>
        <v>2024</v>
      </c>
      <c r="CZ51" s="108">
        <f t="shared" si="1223"/>
        <v>2024</v>
      </c>
      <c r="DA51" s="108">
        <f t="shared" si="1223"/>
        <v>2024</v>
      </c>
      <c r="DB51" s="108">
        <f t="shared" si="1223"/>
        <v>2024</v>
      </c>
      <c r="DC51" s="108">
        <f t="shared" si="1223"/>
        <v>2024</v>
      </c>
      <c r="DD51" s="108">
        <f t="shared" si="1223"/>
        <v>2024</v>
      </c>
      <c r="DE51" s="108">
        <f t="shared" si="1223"/>
        <v>2024</v>
      </c>
      <c r="DF51" s="108">
        <f t="shared" si="1223"/>
        <v>2024</v>
      </c>
      <c r="DG51" s="108">
        <f t="shared" si="1223"/>
        <v>2025</v>
      </c>
      <c r="DH51" s="108">
        <f t="shared" si="1223"/>
        <v>2025</v>
      </c>
      <c r="DI51" s="108">
        <f t="shared" si="1223"/>
        <v>2025</v>
      </c>
      <c r="DJ51" s="108">
        <f t="shared" si="1223"/>
        <v>2025</v>
      </c>
      <c r="DK51" s="108">
        <f t="shared" si="1223"/>
        <v>2025</v>
      </c>
      <c r="DL51" s="108">
        <f t="shared" si="1223"/>
        <v>2025</v>
      </c>
      <c r="DM51" s="108">
        <f t="shared" si="1223"/>
        <v>2025</v>
      </c>
      <c r="DN51" s="108">
        <f t="shared" si="1223"/>
        <v>2025</v>
      </c>
      <c r="DO51" s="108">
        <f t="shared" si="1223"/>
        <v>2025</v>
      </c>
      <c r="DP51" s="108">
        <f t="shared" si="1223"/>
        <v>2025</v>
      </c>
      <c r="DQ51" s="108">
        <f t="shared" si="1223"/>
        <v>2025</v>
      </c>
      <c r="DR51" s="108">
        <f t="shared" si="1223"/>
        <v>2025</v>
      </c>
      <c r="DS51" s="108">
        <f t="shared" si="1223"/>
        <v>2026</v>
      </c>
      <c r="DT51" s="108">
        <f t="shared" si="1223"/>
        <v>2026</v>
      </c>
      <c r="DU51" s="108">
        <f t="shared" si="1223"/>
        <v>2026</v>
      </c>
    </row>
    <row r="52" spans="2:125">
      <c r="B52" s="369"/>
      <c r="C52" s="370">
        <f>$C$3</f>
        <v>42400</v>
      </c>
      <c r="D52" s="370">
        <f>EOMONTH(C52,1)</f>
        <v>42429</v>
      </c>
      <c r="E52" s="370">
        <f t="shared" ref="E52:AE52" si="1224">EOMONTH(D52,1)</f>
        <v>42460</v>
      </c>
      <c r="F52" s="370">
        <f t="shared" si="1224"/>
        <v>42490</v>
      </c>
      <c r="G52" s="370">
        <f t="shared" si="1224"/>
        <v>42521</v>
      </c>
      <c r="H52" s="370">
        <f t="shared" si="1224"/>
        <v>42551</v>
      </c>
      <c r="I52" s="370">
        <f t="shared" si="1224"/>
        <v>42582</v>
      </c>
      <c r="J52" s="370">
        <f t="shared" si="1224"/>
        <v>42613</v>
      </c>
      <c r="K52" s="370">
        <f t="shared" si="1224"/>
        <v>42643</v>
      </c>
      <c r="L52" s="370">
        <f t="shared" si="1224"/>
        <v>42674</v>
      </c>
      <c r="M52" s="370">
        <f t="shared" si="1224"/>
        <v>42704</v>
      </c>
      <c r="N52" s="370">
        <f t="shared" si="1224"/>
        <v>42735</v>
      </c>
      <c r="O52" s="370">
        <f t="shared" si="1224"/>
        <v>42766</v>
      </c>
      <c r="P52" s="370">
        <f t="shared" si="1224"/>
        <v>42794</v>
      </c>
      <c r="Q52" s="370">
        <f t="shared" si="1224"/>
        <v>42825</v>
      </c>
      <c r="R52" s="370">
        <f t="shared" si="1224"/>
        <v>42855</v>
      </c>
      <c r="S52" s="370">
        <f t="shared" si="1224"/>
        <v>42886</v>
      </c>
      <c r="T52" s="370">
        <f t="shared" si="1224"/>
        <v>42916</v>
      </c>
      <c r="U52" s="370">
        <f t="shared" si="1224"/>
        <v>42947</v>
      </c>
      <c r="V52" s="370">
        <f t="shared" si="1224"/>
        <v>42978</v>
      </c>
      <c r="W52" s="370">
        <f t="shared" si="1224"/>
        <v>43008</v>
      </c>
      <c r="X52" s="370">
        <f t="shared" si="1224"/>
        <v>43039</v>
      </c>
      <c r="Y52" s="370">
        <f t="shared" si="1224"/>
        <v>43069</v>
      </c>
      <c r="Z52" s="370">
        <f t="shared" si="1224"/>
        <v>43100</v>
      </c>
      <c r="AA52" s="370">
        <f t="shared" si="1224"/>
        <v>43131</v>
      </c>
      <c r="AB52" s="370">
        <f t="shared" si="1224"/>
        <v>43159</v>
      </c>
      <c r="AC52" s="370">
        <f t="shared" si="1224"/>
        <v>43190</v>
      </c>
      <c r="AD52" s="370">
        <f t="shared" si="1224"/>
        <v>43220</v>
      </c>
      <c r="AE52" s="370">
        <f t="shared" si="1224"/>
        <v>43251</v>
      </c>
      <c r="AF52" s="370">
        <f t="shared" ref="AF52" si="1225">EOMONTH(AE52,1)</f>
        <v>43281</v>
      </c>
      <c r="AG52" s="370">
        <f t="shared" ref="AG52" si="1226">EOMONTH(AF52,1)</f>
        <v>43312</v>
      </c>
      <c r="AH52" s="370">
        <f t="shared" ref="AH52" si="1227">EOMONTH(AG52,1)</f>
        <v>43343</v>
      </c>
      <c r="AI52" s="370">
        <f t="shared" ref="AI52" si="1228">EOMONTH(AH52,1)</f>
        <v>43373</v>
      </c>
      <c r="AJ52" s="370">
        <f t="shared" ref="AJ52" si="1229">EOMONTH(AI52,1)</f>
        <v>43404</v>
      </c>
      <c r="AK52" s="370">
        <f t="shared" ref="AK52" si="1230">EOMONTH(AJ52,1)</f>
        <v>43434</v>
      </c>
      <c r="AL52" s="370">
        <f t="shared" ref="AL52" si="1231">EOMONTH(AK52,1)</f>
        <v>43465</v>
      </c>
      <c r="AM52" s="370">
        <f t="shared" ref="AM52" si="1232">EOMONTH(AL52,1)</f>
        <v>43496</v>
      </c>
      <c r="AN52" s="370">
        <f t="shared" ref="AN52" si="1233">EOMONTH(AM52,1)</f>
        <v>43524</v>
      </c>
      <c r="AO52" s="370">
        <f t="shared" ref="AO52" si="1234">EOMONTH(AN52,1)</f>
        <v>43555</v>
      </c>
      <c r="AP52" s="370">
        <f t="shared" ref="AP52" si="1235">EOMONTH(AO52,1)</f>
        <v>43585</v>
      </c>
      <c r="AQ52" s="370">
        <f t="shared" ref="AQ52" si="1236">EOMONTH(AP52,1)</f>
        <v>43616</v>
      </c>
      <c r="AR52" s="370">
        <f t="shared" ref="AR52" si="1237">EOMONTH(AQ52,1)</f>
        <v>43646</v>
      </c>
      <c r="AS52" s="370">
        <f t="shared" ref="AS52" si="1238">EOMONTH(AR52,1)</f>
        <v>43677</v>
      </c>
      <c r="AT52" s="370">
        <f t="shared" ref="AT52" si="1239">EOMONTH(AS52,1)</f>
        <v>43708</v>
      </c>
      <c r="AU52" s="370">
        <f t="shared" ref="AU52" si="1240">EOMONTH(AT52,1)</f>
        <v>43738</v>
      </c>
      <c r="AV52" s="370">
        <f t="shared" ref="AV52" si="1241">EOMONTH(AU52,1)</f>
        <v>43769</v>
      </c>
      <c r="AW52" s="370">
        <f t="shared" ref="AW52" si="1242">EOMONTH(AV52,1)</f>
        <v>43799</v>
      </c>
      <c r="AX52" s="370">
        <f t="shared" ref="AX52" si="1243">EOMONTH(AW52,1)</f>
        <v>43830</v>
      </c>
      <c r="AY52" s="370">
        <f t="shared" ref="AY52" si="1244">EOMONTH(AX52,1)</f>
        <v>43861</v>
      </c>
      <c r="AZ52" s="370">
        <f t="shared" ref="AZ52" si="1245">EOMONTH(AY52,1)</f>
        <v>43890</v>
      </c>
      <c r="BA52" s="370">
        <f t="shared" ref="BA52" si="1246">EOMONTH(AZ52,1)</f>
        <v>43921</v>
      </c>
      <c r="BB52" s="370">
        <f t="shared" ref="BB52" si="1247">EOMONTH(BA52,1)</f>
        <v>43951</v>
      </c>
      <c r="BC52" s="370">
        <f t="shared" ref="BC52" si="1248">EOMONTH(BB52,1)</f>
        <v>43982</v>
      </c>
      <c r="BD52" s="370">
        <f t="shared" ref="BD52" si="1249">EOMONTH(BC52,1)</f>
        <v>44012</v>
      </c>
      <c r="BE52" s="370">
        <f t="shared" ref="BE52" si="1250">EOMONTH(BD52,1)</f>
        <v>44043</v>
      </c>
      <c r="BF52" s="370">
        <f t="shared" ref="BF52" si="1251">EOMONTH(BE52,1)</f>
        <v>44074</v>
      </c>
      <c r="BG52" s="370">
        <f t="shared" ref="BG52" si="1252">EOMONTH(BF52,1)</f>
        <v>44104</v>
      </c>
      <c r="BH52" s="370">
        <f t="shared" ref="BH52" si="1253">EOMONTH(BG52,1)</f>
        <v>44135</v>
      </c>
      <c r="BI52" s="370">
        <f t="shared" ref="BI52" si="1254">EOMONTH(BH52,1)</f>
        <v>44165</v>
      </c>
      <c r="BJ52" s="370">
        <f t="shared" ref="BJ52" si="1255">EOMONTH(BI52,1)</f>
        <v>44196</v>
      </c>
      <c r="BK52" s="370">
        <f t="shared" ref="BK52" si="1256">EOMONTH(BJ52,1)</f>
        <v>44227</v>
      </c>
      <c r="BL52" s="370">
        <f t="shared" ref="BL52" si="1257">EOMONTH(BK52,1)</f>
        <v>44255</v>
      </c>
      <c r="BM52" s="370">
        <f t="shared" ref="BM52" si="1258">EOMONTH(BL52,1)</f>
        <v>44286</v>
      </c>
      <c r="BN52" s="370">
        <f t="shared" ref="BN52" si="1259">EOMONTH(BM52,1)</f>
        <v>44316</v>
      </c>
      <c r="BO52" s="370">
        <f t="shared" ref="BO52" si="1260">EOMONTH(BN52,1)</f>
        <v>44347</v>
      </c>
      <c r="BP52" s="370">
        <f t="shared" ref="BP52" si="1261">EOMONTH(BO52,1)</f>
        <v>44377</v>
      </c>
      <c r="BQ52" s="370">
        <f t="shared" ref="BQ52" si="1262">EOMONTH(BP52,1)</f>
        <v>44408</v>
      </c>
      <c r="BR52" s="370">
        <f t="shared" ref="BR52" si="1263">EOMONTH(BQ52,1)</f>
        <v>44439</v>
      </c>
      <c r="BS52" s="370">
        <f t="shared" ref="BS52" si="1264">EOMONTH(BR52,1)</f>
        <v>44469</v>
      </c>
      <c r="BT52" s="370">
        <f t="shared" ref="BT52" si="1265">EOMONTH(BS52,1)</f>
        <v>44500</v>
      </c>
      <c r="BU52" s="370">
        <f>EOMONTH(BT52,1)</f>
        <v>44530</v>
      </c>
      <c r="BV52" s="370">
        <f t="shared" ref="BV52:BW52" si="1266">EOMONTH(BU52,1)</f>
        <v>44561</v>
      </c>
      <c r="BW52" s="370">
        <f t="shared" si="1266"/>
        <v>44592</v>
      </c>
      <c r="BX52" s="370">
        <f t="shared" ref="BX52:BY52" si="1267">EOMONTH(BW52,1)</f>
        <v>44620</v>
      </c>
      <c r="BY52" s="370">
        <f t="shared" si="1267"/>
        <v>44651</v>
      </c>
      <c r="BZ52" s="370">
        <f t="shared" ref="BZ52:CA52" si="1268">EOMONTH(BY52,1)</f>
        <v>44681</v>
      </c>
      <c r="CA52" s="370">
        <f t="shared" si="1268"/>
        <v>44712</v>
      </c>
      <c r="CB52" s="370">
        <f t="shared" ref="CB52:CC52" si="1269">EOMONTH(CA52,1)</f>
        <v>44742</v>
      </c>
      <c r="CC52" s="370">
        <f t="shared" si="1269"/>
        <v>44773</v>
      </c>
      <c r="CD52" s="370">
        <f t="shared" ref="CD52" si="1270">EOMONTH(CC52,1)</f>
        <v>44804</v>
      </c>
      <c r="CE52" s="370">
        <f t="shared" ref="CE52" si="1271">EOMONTH(CD52,1)</f>
        <v>44834</v>
      </c>
      <c r="CF52" s="370">
        <f t="shared" ref="CF52" si="1272">EOMONTH(CE52,1)</f>
        <v>44865</v>
      </c>
      <c r="CG52" s="370">
        <f t="shared" ref="CG52" si="1273">EOMONTH(CF52,1)</f>
        <v>44895</v>
      </c>
      <c r="CH52" s="370">
        <f t="shared" ref="CH52" si="1274">EOMONTH(CG52,1)</f>
        <v>44926</v>
      </c>
      <c r="CI52" s="370">
        <f t="shared" ref="CI52" si="1275">EOMONTH(CH52,1)</f>
        <v>44957</v>
      </c>
      <c r="CJ52" s="370">
        <f t="shared" ref="CJ52" si="1276">EOMONTH(CI52,1)</f>
        <v>44985</v>
      </c>
      <c r="CK52" s="370">
        <f t="shared" ref="CK52" si="1277">EOMONTH(CJ52,1)</f>
        <v>45016</v>
      </c>
      <c r="CL52" s="370">
        <f t="shared" ref="CL52" si="1278">EOMONTH(CK52,1)</f>
        <v>45046</v>
      </c>
      <c r="CM52" s="370">
        <f t="shared" ref="CM52" si="1279">EOMONTH(CL52,1)</f>
        <v>45077</v>
      </c>
      <c r="CN52" s="370">
        <f t="shared" ref="CN52" si="1280">EOMONTH(CM52,1)</f>
        <v>45107</v>
      </c>
      <c r="CO52" s="370">
        <f t="shared" ref="CO52" si="1281">EOMONTH(CN52,1)</f>
        <v>45138</v>
      </c>
      <c r="CP52" s="370">
        <f t="shared" ref="CP52" si="1282">EOMONTH(CO52,1)</f>
        <v>45169</v>
      </c>
      <c r="CQ52" s="370">
        <f t="shared" ref="CQ52" si="1283">EOMONTH(CP52,1)</f>
        <v>45199</v>
      </c>
      <c r="CR52" s="370">
        <f t="shared" ref="CR52" si="1284">EOMONTH(CQ52,1)</f>
        <v>45230</v>
      </c>
      <c r="CS52" s="370">
        <f t="shared" ref="CS52" si="1285">EOMONTH(CR52,1)</f>
        <v>45260</v>
      </c>
      <c r="CT52" s="370">
        <f t="shared" ref="CT52" si="1286">EOMONTH(CS52,1)</f>
        <v>45291</v>
      </c>
      <c r="CU52" s="370">
        <f t="shared" ref="CU52" si="1287">EOMONTH(CT52,1)</f>
        <v>45322</v>
      </c>
      <c r="CV52" s="370">
        <f t="shared" ref="CV52" si="1288">EOMONTH(CU52,1)</f>
        <v>45351</v>
      </c>
      <c r="CW52" s="370">
        <f t="shared" ref="CW52" si="1289">EOMONTH(CV52,1)</f>
        <v>45382</v>
      </c>
      <c r="CX52" s="370">
        <f t="shared" ref="CX52" si="1290">EOMONTH(CW52,1)</f>
        <v>45412</v>
      </c>
      <c r="CY52" s="370">
        <f t="shared" ref="CY52" si="1291">EOMONTH(CX52,1)</f>
        <v>45443</v>
      </c>
      <c r="CZ52" s="370">
        <f t="shared" ref="CZ52" si="1292">EOMONTH(CY52,1)</f>
        <v>45473</v>
      </c>
      <c r="DA52" s="370">
        <f t="shared" ref="DA52" si="1293">EOMONTH(CZ52,1)</f>
        <v>45504</v>
      </c>
      <c r="DB52" s="370">
        <f t="shared" ref="DB52" si="1294">EOMONTH(DA52,1)</f>
        <v>45535</v>
      </c>
      <c r="DC52" s="370">
        <f t="shared" ref="DC52" si="1295">EOMONTH(DB52,1)</f>
        <v>45565</v>
      </c>
      <c r="DD52" s="370">
        <f t="shared" ref="DD52" si="1296">EOMONTH(DC52,1)</f>
        <v>45596</v>
      </c>
      <c r="DE52" s="370">
        <f t="shared" ref="DE52" si="1297">EOMONTH(DD52,1)</f>
        <v>45626</v>
      </c>
      <c r="DF52" s="370">
        <f t="shared" ref="DF52" si="1298">EOMONTH(DE52,1)</f>
        <v>45657</v>
      </c>
      <c r="DG52" s="370">
        <f t="shared" ref="DG52" si="1299">EOMONTH(DF52,1)</f>
        <v>45688</v>
      </c>
      <c r="DH52" s="370">
        <f t="shared" ref="DH52" si="1300">EOMONTH(DG52,1)</f>
        <v>45716</v>
      </c>
      <c r="DI52" s="370">
        <f t="shared" ref="DI52" si="1301">EOMONTH(DH52,1)</f>
        <v>45747</v>
      </c>
      <c r="DJ52" s="370">
        <f t="shared" ref="DJ52" si="1302">EOMONTH(DI52,1)</f>
        <v>45777</v>
      </c>
      <c r="DK52" s="370">
        <f t="shared" ref="DK52" si="1303">EOMONTH(DJ52,1)</f>
        <v>45808</v>
      </c>
      <c r="DL52" s="370">
        <f t="shared" ref="DL52" si="1304">EOMONTH(DK52,1)</f>
        <v>45838</v>
      </c>
      <c r="DM52" s="370">
        <f t="shared" ref="DM52" si="1305">EOMONTH(DL52,1)</f>
        <v>45869</v>
      </c>
      <c r="DN52" s="370">
        <f t="shared" ref="DN52" si="1306">EOMONTH(DM52,1)</f>
        <v>45900</v>
      </c>
      <c r="DO52" s="370">
        <f t="shared" ref="DO52" si="1307">EOMONTH(DN52,1)</f>
        <v>45930</v>
      </c>
      <c r="DP52" s="370">
        <f t="shared" ref="DP52" si="1308">EOMONTH(DO52,1)</f>
        <v>45961</v>
      </c>
      <c r="DQ52" s="370">
        <f t="shared" ref="DQ52" si="1309">EOMONTH(DP52,1)</f>
        <v>45991</v>
      </c>
      <c r="DR52" s="370">
        <f t="shared" ref="DR52" si="1310">EOMONTH(DQ52,1)</f>
        <v>46022</v>
      </c>
      <c r="DS52" s="370">
        <f t="shared" ref="DS52" si="1311">EOMONTH(DR52,1)</f>
        <v>46053</v>
      </c>
      <c r="DT52" s="370">
        <f t="shared" ref="DT52:DU52" si="1312">EOMONTH(DS52,1)</f>
        <v>46081</v>
      </c>
      <c r="DU52" s="370">
        <f t="shared" si="1312"/>
        <v>46112</v>
      </c>
    </row>
    <row r="53" spans="2:125">
      <c r="B53" s="372" t="s">
        <v>185</v>
      </c>
      <c r="C53" s="124"/>
      <c r="D53" s="124"/>
      <c r="E53" s="124"/>
      <c r="F53" s="124"/>
      <c r="G53" s="124"/>
      <c r="H53" s="124"/>
      <c r="I53" s="124"/>
      <c r="J53" s="124"/>
      <c r="K53" s="124"/>
      <c r="L53" s="124"/>
      <c r="M53" s="124"/>
      <c r="N53" s="124"/>
      <c r="O53" s="124">
        <v>0</v>
      </c>
      <c r="P53" s="124">
        <v>0</v>
      </c>
      <c r="Q53" s="125">
        <v>0</v>
      </c>
      <c r="R53" s="124">
        <v>0</v>
      </c>
      <c r="S53" s="124">
        <v>0</v>
      </c>
      <c r="T53" s="124">
        <v>0</v>
      </c>
      <c r="U53" s="124">
        <v>0</v>
      </c>
      <c r="V53" s="124">
        <v>0</v>
      </c>
      <c r="W53" s="124">
        <v>0</v>
      </c>
      <c r="X53" s="124">
        <v>0</v>
      </c>
      <c r="Y53" s="124">
        <v>0</v>
      </c>
      <c r="Z53" s="124">
        <v>0</v>
      </c>
      <c r="AA53" s="124">
        <v>0</v>
      </c>
      <c r="AB53" s="124">
        <v>0</v>
      </c>
      <c r="AC53" s="124">
        <v>0</v>
      </c>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U53" s="124"/>
      <c r="BV53" s="124"/>
      <c r="BW53" s="124"/>
      <c r="BX53" s="124"/>
      <c r="BY53" s="124"/>
      <c r="BZ53" s="124"/>
      <c r="CA53" s="124"/>
      <c r="CB53" s="124"/>
      <c r="CC53" s="124"/>
      <c r="CD53" s="124"/>
      <c r="CE53" s="124"/>
      <c r="CF53" s="124"/>
      <c r="CG53" s="124"/>
      <c r="CH53" s="124"/>
      <c r="CI53" s="124"/>
      <c r="CJ53" s="124"/>
      <c r="CK53" s="124"/>
      <c r="CL53" s="124"/>
      <c r="CM53" s="124"/>
      <c r="CN53" s="124"/>
      <c r="CO53" s="124"/>
      <c r="CP53" s="124"/>
      <c r="CQ53" s="124"/>
      <c r="CR53" s="124"/>
      <c r="CS53" s="124"/>
      <c r="CT53" s="124"/>
      <c r="CU53" s="124">
        <f>1083/3</f>
        <v>361</v>
      </c>
      <c r="CV53" s="124">
        <f>CU53</f>
        <v>361</v>
      </c>
      <c r="CW53" s="124">
        <f>CV53</f>
        <v>361</v>
      </c>
      <c r="CX53" s="124">
        <f>1655/3</f>
        <v>551.66666666666663</v>
      </c>
      <c r="CY53" s="124">
        <f>CX53</f>
        <v>551.66666666666663</v>
      </c>
      <c r="CZ53" s="124">
        <f>CY53</f>
        <v>551.66666666666663</v>
      </c>
      <c r="DA53" s="124">
        <v>586</v>
      </c>
      <c r="DB53" s="124">
        <v>586</v>
      </c>
      <c r="DC53" s="124">
        <v>585</v>
      </c>
      <c r="DD53" s="124">
        <f>+(6131-SUM(CU53:DC53))/3</f>
        <v>545.33333333333337</v>
      </c>
      <c r="DE53" s="124">
        <v>545</v>
      </c>
      <c r="DF53" s="124">
        <v>546</v>
      </c>
      <c r="DG53" s="124">
        <v>332</v>
      </c>
      <c r="DH53" s="124">
        <v>332</v>
      </c>
      <c r="DI53" s="124">
        <v>332</v>
      </c>
      <c r="DJ53" s="124">
        <v>441</v>
      </c>
      <c r="DK53" s="124">
        <v>441</v>
      </c>
      <c r="DL53" s="124">
        <v>441</v>
      </c>
      <c r="DM53" s="124"/>
      <c r="DN53" s="124"/>
      <c r="DO53" s="124"/>
      <c r="DP53" s="124"/>
      <c r="DQ53" s="124"/>
      <c r="DR53" s="124"/>
      <c r="DS53" s="124"/>
      <c r="DT53" s="124"/>
      <c r="DU53" s="124"/>
    </row>
    <row r="54" spans="2:125">
      <c r="B54" s="87" t="s">
        <v>186</v>
      </c>
      <c r="C54" s="88">
        <f>SUMIF($C$51:C$51,"="&amp;YEAR(C52),$C$53:C$53)</f>
        <v>0</v>
      </c>
      <c r="D54" s="88">
        <f>SUMIF($C$51:D$51,"="&amp;YEAR(D52),$C$53:D$53)</f>
        <v>0</v>
      </c>
      <c r="E54" s="88">
        <f>SUMIF($C$51:E$51,"="&amp;YEAR(E52),$C$53:E$53)</f>
        <v>0</v>
      </c>
      <c r="F54" s="88">
        <f>SUMIF($C$51:F$51,"="&amp;YEAR(F52),$C$53:F$53)</f>
        <v>0</v>
      </c>
      <c r="G54" s="88">
        <f>SUMIF($C$51:G$51,"="&amp;YEAR(G52),$C$53:G$53)</f>
        <v>0</v>
      </c>
      <c r="H54" s="88">
        <f>SUMIF($C$51:H$51,"="&amp;YEAR(H52),$C$53:H$53)</f>
        <v>0</v>
      </c>
      <c r="I54" s="88">
        <f>SUMIF($C$51:I$51,"="&amp;YEAR(I52),$C$53:I$53)</f>
        <v>0</v>
      </c>
      <c r="J54" s="88">
        <f>SUMIF($C$51:J$51,"="&amp;YEAR(J52),$C$53:J$53)</f>
        <v>0</v>
      </c>
      <c r="K54" s="88">
        <f>SUMIF($C$51:K$51,"="&amp;YEAR(K52),$C$53:K$53)</f>
        <v>0</v>
      </c>
      <c r="L54" s="88">
        <f>SUMIF($C$51:L$51,"="&amp;YEAR(L52),$C$53:L$53)</f>
        <v>0</v>
      </c>
      <c r="M54" s="88">
        <f>SUMIF($C$51:M$51,"="&amp;YEAR(M52),$C$53:M$53)</f>
        <v>0</v>
      </c>
      <c r="N54" s="88">
        <f>SUMIF($C$51:N$51,"="&amp;YEAR(N52),$C$53:N$53)</f>
        <v>0</v>
      </c>
      <c r="O54" s="88">
        <f>SUMIF($C$51:O$51,"="&amp;YEAR(O52),$C$53:O$53)</f>
        <v>0</v>
      </c>
      <c r="P54" s="88">
        <f>SUMIF($C$51:P$51,"="&amp;YEAR(P52),$C$53:P$53)</f>
        <v>0</v>
      </c>
      <c r="Q54" s="88">
        <f>SUMIF($C$51:Q$51,"="&amp;YEAR(Q52),$C$53:Q$53)</f>
        <v>0</v>
      </c>
      <c r="R54" s="88">
        <f>SUMIF($C$51:R$51,"="&amp;YEAR(R52),$C$53:R$53)</f>
        <v>0</v>
      </c>
      <c r="S54" s="88">
        <f>SUMIF($C$51:S$51,"="&amp;YEAR(S52),$C$53:S$53)</f>
        <v>0</v>
      </c>
      <c r="T54" s="88">
        <f>SUMIF($C$51:T$51,"="&amp;YEAR(T52),$C$53:T$53)</f>
        <v>0</v>
      </c>
      <c r="U54" s="88">
        <f>SUMIF($C$51:U$51,"="&amp;YEAR(U52),$C$53:U$53)</f>
        <v>0</v>
      </c>
      <c r="V54" s="88">
        <f>SUMIF($C$51:V$51,"="&amp;YEAR(V52),$C$53:V$53)</f>
        <v>0</v>
      </c>
      <c r="W54" s="88">
        <f>SUMIF($C$51:W$51,"="&amp;YEAR(W52),$C$53:W$53)</f>
        <v>0</v>
      </c>
      <c r="X54" s="88">
        <f>SUMIF($C$51:X$51,"="&amp;YEAR(X52),$C$53:X$53)</f>
        <v>0</v>
      </c>
      <c r="Y54" s="88">
        <f>SUMIF($C$51:Y$51,"="&amp;YEAR(Y52),$C$53:Y$53)</f>
        <v>0</v>
      </c>
      <c r="Z54" s="88">
        <f>SUMIF($C$51:Z$51,"="&amp;YEAR(Z52),$C$53:Z$53)</f>
        <v>0</v>
      </c>
      <c r="AA54" s="88">
        <f>SUMIF($C$51:AA$51,"="&amp;YEAR(AA52),$C$53:AA$53)</f>
        <v>0</v>
      </c>
      <c r="AB54" s="88">
        <f>SUMIF($C$51:AB$51,"="&amp;YEAR(AB52),$C$53:AB$53)</f>
        <v>0</v>
      </c>
      <c r="AC54" s="88">
        <f>SUMIF($C$51:AC$51,"="&amp;YEAR(AC52),$C$53:AC$53)</f>
        <v>0</v>
      </c>
      <c r="AD54" s="88">
        <f>SUMIF($C$51:AD$51,"="&amp;YEAR(AD52),$C$53:AD$53)</f>
        <v>0</v>
      </c>
      <c r="AE54" s="88">
        <f>SUMIF($C$51:AE$51,"="&amp;YEAR(AE52),$C$53:AE$53)</f>
        <v>0</v>
      </c>
      <c r="AF54" s="88">
        <f>SUMIF($C$51:AF$51,"="&amp;YEAR(AF52),$C$53:AF$53)</f>
        <v>0</v>
      </c>
      <c r="AG54" s="88">
        <f>SUMIF($C$51:AG$51,"="&amp;YEAR(AG52),$C$53:AG$53)</f>
        <v>0</v>
      </c>
      <c r="AH54" s="88">
        <f>SUMIF($C$51:AH$51,"="&amp;YEAR(AH52),$C$53:AH$53)</f>
        <v>0</v>
      </c>
      <c r="AI54" s="88">
        <f>SUMIF($C$51:AI$51,"="&amp;YEAR(AI52),$C$53:AI$53)</f>
        <v>0</v>
      </c>
      <c r="AJ54" s="88">
        <f>SUMIF($C$51:AJ$51,"="&amp;YEAR(AJ52),$C$53:AJ$53)</f>
        <v>0</v>
      </c>
      <c r="AK54" s="88">
        <f>SUMIF($C$51:AK$51,"="&amp;YEAR(AK52),$C$53:AK$53)</f>
        <v>0</v>
      </c>
      <c r="AL54" s="88">
        <f>SUMIF($C$51:AL$51,"="&amp;YEAR(AL52),$C$53:AL$53)</f>
        <v>0</v>
      </c>
      <c r="AM54" s="88">
        <f>SUMIF($C$51:AM$51,"="&amp;YEAR(AM52),$C$53:AM$53)</f>
        <v>0</v>
      </c>
      <c r="AN54" s="88">
        <f>SUMIF($C$51:AN$51,"="&amp;YEAR(AN52),$C$53:AN$53)</f>
        <v>0</v>
      </c>
      <c r="AO54" s="88">
        <f>SUMIF($C$51:AO$51,"="&amp;YEAR(AO52),$C$53:AO$53)</f>
        <v>0</v>
      </c>
      <c r="AP54" s="88">
        <f>SUMIF($C$51:AP$51,"="&amp;YEAR(AP52),$C$53:AP$53)</f>
        <v>0</v>
      </c>
      <c r="AQ54" s="88">
        <f>SUMIF($C$51:AQ$51,"="&amp;YEAR(AQ52),$C$53:AQ$53)</f>
        <v>0</v>
      </c>
      <c r="AR54" s="88">
        <f>SUMIF($C$51:AR$51,"="&amp;YEAR(AR52),$C$53:AR$53)</f>
        <v>0</v>
      </c>
      <c r="AS54" s="88">
        <f>SUMIF($C$51:AS$51,"="&amp;YEAR(AS52),$C$53:AS$53)</f>
        <v>0</v>
      </c>
      <c r="AT54" s="88">
        <f>SUMIF($C$51:AT$51,"="&amp;YEAR(AT52),$C$53:AT$53)</f>
        <v>0</v>
      </c>
      <c r="AU54" s="88">
        <f>SUMIF($C$51:AU$51,"="&amp;YEAR(AU52),$C$53:AU$53)</f>
        <v>0</v>
      </c>
      <c r="AV54" s="88">
        <f>SUMIF($C$51:AV$51,"="&amp;YEAR(AV52),$C$53:AV$53)</f>
        <v>0</v>
      </c>
      <c r="AW54" s="88">
        <f>SUMIF($C$51:AW$51,"="&amp;YEAR(AW52),$C$53:AW$53)</f>
        <v>0</v>
      </c>
      <c r="AX54" s="88">
        <f>SUMIF($C$51:AX$51,"="&amp;YEAR(AX52),$C$53:AX$53)</f>
        <v>0</v>
      </c>
      <c r="AY54" s="88">
        <f>SUMIF($C$51:AY$51,"="&amp;YEAR(AY52),$C$53:AY$53)</f>
        <v>0</v>
      </c>
      <c r="AZ54" s="88">
        <f>SUMIF($C$51:AZ$51,"="&amp;YEAR(AZ52),$C$53:AZ$53)</f>
        <v>0</v>
      </c>
      <c r="BA54" s="88">
        <f>SUMIF($C$51:BA$51,"="&amp;YEAR(BA52),$C$53:BA$53)</f>
        <v>0</v>
      </c>
      <c r="BB54" s="88">
        <f>SUMIF($C$51:BB$51,"="&amp;YEAR(BB52),$C$53:BB$53)</f>
        <v>0</v>
      </c>
      <c r="BC54" s="88">
        <f>SUMIF($C$51:BC$51,"="&amp;YEAR(BC52),$C$53:BC$53)</f>
        <v>0</v>
      </c>
      <c r="BD54" s="88">
        <f>SUMIF($C$51:BD$51,"="&amp;YEAR(BD52),$C$53:BD$53)</f>
        <v>0</v>
      </c>
      <c r="BE54" s="88">
        <f>SUMIF($C$51:BE$51,"="&amp;YEAR(BE52),$C$53:BE$53)</f>
        <v>0</v>
      </c>
      <c r="BF54" s="88">
        <f>SUMIF($C$51:BF$51,"="&amp;YEAR(BF52),$C$53:BF$53)</f>
        <v>0</v>
      </c>
      <c r="BG54" s="88">
        <f>SUMIF($C$51:BG$51,"="&amp;YEAR(BG52),$C$53:BG$53)</f>
        <v>0</v>
      </c>
      <c r="BH54" s="88">
        <f>SUMIF($C$51:BH$51,"="&amp;YEAR(BH52),$C$53:BH$53)</f>
        <v>0</v>
      </c>
      <c r="BI54" s="88">
        <f>SUMIF($C$51:BI$51,"="&amp;YEAR(BI52),$C$53:BI$53)</f>
        <v>0</v>
      </c>
      <c r="BJ54" s="88">
        <f>SUMIF($C$51:BJ$51,"="&amp;YEAR(BJ52),$C$53:BJ$53)</f>
        <v>0</v>
      </c>
      <c r="BK54" s="88">
        <f>SUMIF($C$51:BK$51,"="&amp;YEAR(BK52),$C$53:BK$53)</f>
        <v>0</v>
      </c>
      <c r="BL54" s="88">
        <f>SUMIF($C$51:BL$51,"="&amp;YEAR(BL52),$C$53:BL$53)</f>
        <v>0</v>
      </c>
      <c r="BM54" s="88">
        <f>SUMIF($C$51:BM$51,"="&amp;YEAR(BM52),$C$53:BM$53)</f>
        <v>0</v>
      </c>
      <c r="BN54" s="88">
        <f>SUMIF($C$51:BN$51,"="&amp;YEAR(BN52),$C$53:BN$53)</f>
        <v>0</v>
      </c>
      <c r="BO54" s="88">
        <f>SUMIF($C$51:BO$51,"="&amp;YEAR(BO52),$C$53:BO$53)</f>
        <v>0</v>
      </c>
      <c r="BP54" s="88">
        <f>SUMIF($C$51:BP$51,"="&amp;YEAR(BP52),$C$53:BP$53)</f>
        <v>0</v>
      </c>
      <c r="BQ54" s="88">
        <f>SUMIF($C$51:BQ$51,"="&amp;YEAR(BQ52),$C$53:BQ$53)</f>
        <v>0</v>
      </c>
      <c r="BR54" s="88">
        <f>SUMIF($C$51:BR$51,"="&amp;YEAR(BR52),$C$53:BR$53)</f>
        <v>0</v>
      </c>
      <c r="BS54" s="88">
        <f>SUMIF($C$51:BS$51,"="&amp;YEAR(BS52),$C$53:BS$53)</f>
        <v>0</v>
      </c>
      <c r="BT54" s="88">
        <f>SUMIF($C$51:BT$51,"="&amp;YEAR(BT52),$C$53:BT$53)</f>
        <v>0</v>
      </c>
      <c r="BU54" s="88">
        <f>SUMIF($C$51:BU$51,"="&amp;YEAR(BU52),$C$53:BU$53)</f>
        <v>0</v>
      </c>
      <c r="BV54" s="88">
        <f>SUMIF($C$51:BV$51,"="&amp;YEAR(BV52),$C$53:BV$53)</f>
        <v>0</v>
      </c>
      <c r="BW54" s="88">
        <f>SUMIF($C$51:BW$51,"="&amp;YEAR(BW52),$C$53:BW$53)</f>
        <v>0</v>
      </c>
      <c r="BX54" s="88">
        <f>SUMIF($C$51:BX$51,"="&amp;YEAR(BX52),$C$53:BX$53)</f>
        <v>0</v>
      </c>
      <c r="BY54" s="88">
        <f>SUMIF($C$51:BY$51,"="&amp;YEAR(BY52),$C$53:BY$53)</f>
        <v>0</v>
      </c>
      <c r="BZ54" s="88">
        <f>SUMIF($C$51:BZ$51,"="&amp;YEAR(BZ52),$C$53:BZ$53)</f>
        <v>0</v>
      </c>
      <c r="CA54" s="88">
        <f>SUMIF($C$51:CA$51,"="&amp;YEAR(CA52),$C$53:CA$53)</f>
        <v>0</v>
      </c>
      <c r="CB54" s="88">
        <f>SUMIF($C$51:CB$51,"="&amp;YEAR(CB52),$C$53:CB$53)</f>
        <v>0</v>
      </c>
      <c r="CC54" s="88">
        <f>SUMIF($C$51:CC$51,"="&amp;YEAR(CC52),$C$53:CC$53)</f>
        <v>0</v>
      </c>
      <c r="CD54" s="88">
        <f>SUMIF($C$51:CD$51,"="&amp;YEAR(CD52),$C$53:CD$53)</f>
        <v>0</v>
      </c>
      <c r="CE54" s="88">
        <f>SUMIF($C$51:CE$51,"="&amp;YEAR(CE52),$C$53:CE$53)</f>
        <v>0</v>
      </c>
      <c r="CF54" s="88">
        <f>SUMIF($C$51:CF$51,"="&amp;YEAR(CF52),$C$53:CF$53)</f>
        <v>0</v>
      </c>
      <c r="CG54" s="88">
        <f>SUMIF($C$51:CG$51,"="&amp;YEAR(CG52),$C$53:CG$53)</f>
        <v>0</v>
      </c>
      <c r="CH54" s="88">
        <f>SUMIF($C$51:CH$51,"="&amp;YEAR(CH52),$C$53:CH$53)</f>
        <v>0</v>
      </c>
      <c r="CI54" s="88">
        <f>SUMIF($C$51:CI$51,"="&amp;YEAR(CI52),$C$53:CI$53)</f>
        <v>0</v>
      </c>
      <c r="CJ54" s="88">
        <f>SUMIF($C$51:CJ$51,"="&amp;YEAR(CJ52),$C$53:CJ$53)</f>
        <v>0</v>
      </c>
      <c r="CK54" s="88">
        <f>SUMIF($C$51:CK$51,"="&amp;YEAR(CK52),$C$53:CK$53)</f>
        <v>0</v>
      </c>
      <c r="CL54" s="88">
        <f>SUMIF($C$51:CL$51,"="&amp;YEAR(CL52),$C$53:CL$53)</f>
        <v>0</v>
      </c>
      <c r="CM54" s="88">
        <f>SUMIF($C$51:CM$51,"="&amp;YEAR(CM52),$C$53:CM$53)</f>
        <v>0</v>
      </c>
      <c r="CN54" s="88">
        <f>SUMIF($C$51:CN$51,"="&amp;YEAR(CN52),$C$53:CN$53)</f>
        <v>0</v>
      </c>
      <c r="CO54" s="88">
        <f>SUMIF($C$51:CO$51,"="&amp;YEAR(CO52),$C$53:CO$53)</f>
        <v>0</v>
      </c>
      <c r="CP54" s="88">
        <f>SUMIF($C$51:CP$51,"="&amp;YEAR(CP52),$C$53:CP$53)</f>
        <v>0</v>
      </c>
      <c r="CQ54" s="88">
        <f>SUMIF($C$51:CQ$51,"="&amp;YEAR(CQ52),$C$53:CQ$53)</f>
        <v>0</v>
      </c>
      <c r="CR54" s="88">
        <f>SUMIF($C$51:CR$51,"="&amp;YEAR(CR52),$C$53:CR$53)</f>
        <v>0</v>
      </c>
      <c r="CS54" s="88">
        <f>SUMIF($C$51:CS$51,"="&amp;YEAR(CS52),$C$53:CS$53)</f>
        <v>0</v>
      </c>
      <c r="CT54" s="88">
        <f>SUMIF($C$51:CT$51,"="&amp;YEAR(CT52),$C$53:CT$53)</f>
        <v>0</v>
      </c>
      <c r="CU54" s="88">
        <f>SUMIF($C$51:CU$51,"="&amp;YEAR(CU52),$C$53:CU$53)</f>
        <v>361</v>
      </c>
      <c r="CV54" s="88">
        <f>SUMIF($C$51:CV$51,"="&amp;YEAR(CV52),$C$53:CV$53)</f>
        <v>722</v>
      </c>
      <c r="CW54" s="88">
        <f>SUMIF($C$51:CW$51,"="&amp;YEAR(CW52),$C$53:CW$53)</f>
        <v>1083</v>
      </c>
      <c r="CX54" s="88">
        <f>SUMIF($C$51:CX$51,"="&amp;YEAR(CX52),$C$53:CX$53)</f>
        <v>1634.6666666666665</v>
      </c>
      <c r="CY54" s="88">
        <f>SUMIF($C$51:CY$51,"="&amp;YEAR(CY52),$C$53:CY$53)</f>
        <v>2186.333333333333</v>
      </c>
      <c r="CZ54" s="88">
        <f>SUMIF($C$51:CZ$51,"="&amp;YEAR(CZ52),$C$53:CZ$53)</f>
        <v>2737.9999999999995</v>
      </c>
      <c r="DA54" s="88">
        <f>SUMIF($C$51:DA$51,"="&amp;YEAR(DA52),$C$53:DA$53)</f>
        <v>3323.9999999999995</v>
      </c>
      <c r="DB54" s="88">
        <f>SUMIF($C$51:DB$51,"="&amp;YEAR(DB52),$C$53:DB$53)</f>
        <v>3909.9999999999995</v>
      </c>
      <c r="DC54" s="88">
        <f>SUMIF($C$51:DC$51,"="&amp;YEAR(DC52),$C$53:DC$53)</f>
        <v>4495</v>
      </c>
      <c r="DD54" s="88">
        <f>SUMIF($C$51:DD$51,"="&amp;YEAR(DD52),$C$53:DD$53)</f>
        <v>5040.333333333333</v>
      </c>
      <c r="DE54" s="88">
        <f>SUMIF($C$51:DE$51,"="&amp;YEAR(DE52),$C$53:DE$53)</f>
        <v>5585.333333333333</v>
      </c>
      <c r="DF54" s="88">
        <f>SUMIF($C$51:DF$51,"="&amp;YEAR(DF52),$C$53:DF$53)</f>
        <v>6131.333333333333</v>
      </c>
      <c r="DG54" s="88">
        <f>SUMIF($C$51:DG$51,"="&amp;YEAR(DG52),$C$53:DG$53)</f>
        <v>332</v>
      </c>
      <c r="DH54" s="88">
        <f>SUMIF($C$51:DH$51,"="&amp;YEAR(DH52),$C$53:DH$53)</f>
        <v>664</v>
      </c>
      <c r="DI54" s="88">
        <f>SUMIF($C$51:DI$51,"="&amp;YEAR(DI52),$C$53:DI$53)</f>
        <v>996</v>
      </c>
      <c r="DJ54" s="88">
        <f>SUMIF($C$51:DJ$51,"="&amp;YEAR(DJ52),$C$53:DJ$53)</f>
        <v>1437</v>
      </c>
      <c r="DK54" s="88">
        <f>SUMIF($C$51:DK$51,"="&amp;YEAR(DK52),$C$53:DK$53)</f>
        <v>1878</v>
      </c>
      <c r="DL54" s="88">
        <f>SUMIF($C$51:DL$51,"="&amp;YEAR(DL52),$C$53:DL$53)</f>
        <v>2319</v>
      </c>
      <c r="DM54" s="88">
        <f>SUMIF($C$51:DM$51,"="&amp;YEAR(DM52),$C$53:DM$53)</f>
        <v>2319</v>
      </c>
      <c r="DN54" s="88">
        <f>SUMIF($C$51:DN$51,"="&amp;YEAR(DN52),$C$53:DN$53)</f>
        <v>2319</v>
      </c>
      <c r="DO54" s="88">
        <f>SUMIF($C$51:DO$51,"="&amp;YEAR(DO52),$C$53:DO$53)</f>
        <v>2319</v>
      </c>
      <c r="DP54" s="88">
        <f>SUMIF($C$51:DP$51,"="&amp;YEAR(DP52),$C$53:DP$53)</f>
        <v>2319</v>
      </c>
      <c r="DQ54" s="88">
        <f>SUMIF($C$51:DQ$51,"="&amp;YEAR(DQ52),$C$53:DQ$53)</f>
        <v>2319</v>
      </c>
      <c r="DR54" s="88">
        <f>SUMIF($C$51:DR$51,"="&amp;YEAR(DR52),$C$53:DR$53)</f>
        <v>2319</v>
      </c>
      <c r="DS54" s="88">
        <f>SUMIF($C$51:DS$51,"="&amp;YEAR(DS52),$C$53:DS$53)</f>
        <v>0</v>
      </c>
      <c r="DT54" s="88">
        <f>SUMIF($C$51:DT$51,"="&amp;YEAR(DT52),$C$53:DT$53)</f>
        <v>0</v>
      </c>
      <c r="DU54" s="88">
        <f>SUMIF($C$51:DU$51,"="&amp;YEAR(DU52),$C$53:DU$53)</f>
        <v>0</v>
      </c>
    </row>
    <row r="55" spans="2:125">
      <c r="B55" s="87" t="s">
        <v>45</v>
      </c>
      <c r="C55" s="88">
        <f>SUM($C$53:C53)</f>
        <v>0</v>
      </c>
      <c r="D55" s="88">
        <f>SUM($C$53:D53)</f>
        <v>0</v>
      </c>
      <c r="E55" s="88">
        <f>SUM($C$53:E53)</f>
        <v>0</v>
      </c>
      <c r="F55" s="88">
        <f>SUM($C$53:F53)</f>
        <v>0</v>
      </c>
      <c r="G55" s="88">
        <f>SUM($C$53:G53)</f>
        <v>0</v>
      </c>
      <c r="H55" s="88">
        <f>SUM($C$53:H53)</f>
        <v>0</v>
      </c>
      <c r="I55" s="88">
        <f>SUM($C$53:I53)</f>
        <v>0</v>
      </c>
      <c r="J55" s="88">
        <f>SUM($C$53:J53)</f>
        <v>0</v>
      </c>
      <c r="K55" s="88">
        <f>SUM($C$53:K53)</f>
        <v>0</v>
      </c>
      <c r="L55" s="88">
        <f>SUM($C$53:L53)</f>
        <v>0</v>
      </c>
      <c r="M55" s="88">
        <f>SUM($C$53:M53)</f>
        <v>0</v>
      </c>
      <c r="N55" s="88">
        <f>SUM($C$53:N53)</f>
        <v>0</v>
      </c>
      <c r="O55" s="88">
        <f>SUM($C$53:O53)</f>
        <v>0</v>
      </c>
      <c r="P55" s="88">
        <f>SUM($C$53:P53)</f>
        <v>0</v>
      </c>
      <c r="Q55" s="88">
        <f>SUM($C$53:Q53)</f>
        <v>0</v>
      </c>
      <c r="R55" s="88">
        <f>SUM($C$53:R53)</f>
        <v>0</v>
      </c>
      <c r="S55" s="88">
        <f>SUM($C$53:S53)</f>
        <v>0</v>
      </c>
      <c r="T55" s="88">
        <f>SUM($C$53:T53)</f>
        <v>0</v>
      </c>
      <c r="U55" s="88">
        <f>SUM($C$53:U53)</f>
        <v>0</v>
      </c>
      <c r="V55" s="88">
        <f>SUM($C$53:V53)</f>
        <v>0</v>
      </c>
      <c r="W55" s="88">
        <f>SUM($C$53:W53)</f>
        <v>0</v>
      </c>
      <c r="X55" s="88">
        <f>SUM($C$53:X53)</f>
        <v>0</v>
      </c>
      <c r="Y55" s="88">
        <f>SUM($C$53:Y53)</f>
        <v>0</v>
      </c>
      <c r="Z55" s="88">
        <f>SUM($C$53:Z53)</f>
        <v>0</v>
      </c>
      <c r="AA55" s="88">
        <f>SUM($C$53:AA53)</f>
        <v>0</v>
      </c>
      <c r="AB55" s="88">
        <f>SUM($C$53:AB53)</f>
        <v>0</v>
      </c>
      <c r="AC55" s="88">
        <f>SUM($C$53:AC53)</f>
        <v>0</v>
      </c>
      <c r="AD55" s="88">
        <f>SUM($C$53:AD53)</f>
        <v>0</v>
      </c>
      <c r="AE55" s="88">
        <f>SUM($C$53:AE53)</f>
        <v>0</v>
      </c>
      <c r="AF55" s="88">
        <f>SUM($C$53:AF53)</f>
        <v>0</v>
      </c>
      <c r="AG55" s="88">
        <f>SUM($C$53:AG53)</f>
        <v>0</v>
      </c>
      <c r="AH55" s="88">
        <f>SUM($C$53:AH53)</f>
        <v>0</v>
      </c>
      <c r="AI55" s="88">
        <f>SUM($C$53:AI53)</f>
        <v>0</v>
      </c>
      <c r="AJ55" s="88">
        <f>SUM($C$53:AJ53)</f>
        <v>0</v>
      </c>
      <c r="AK55" s="88">
        <f>SUM($C$53:AK53)</f>
        <v>0</v>
      </c>
      <c r="AL55" s="88">
        <f>SUM($C$53:AL53)</f>
        <v>0</v>
      </c>
      <c r="AM55" s="88">
        <f>SUM($C$53:AM53)</f>
        <v>0</v>
      </c>
      <c r="AN55" s="88">
        <f>SUM($C$53:AN53)</f>
        <v>0</v>
      </c>
      <c r="AO55" s="88">
        <f>SUM($C$53:AO53)</f>
        <v>0</v>
      </c>
      <c r="AP55" s="88">
        <f>SUM($C$53:AP53)</f>
        <v>0</v>
      </c>
      <c r="AQ55" s="88">
        <f>SUM($C$53:AQ53)</f>
        <v>0</v>
      </c>
      <c r="AR55" s="88">
        <f>SUM($C$53:AR53)</f>
        <v>0</v>
      </c>
      <c r="AS55" s="88">
        <f>SUM($C$53:AS53)</f>
        <v>0</v>
      </c>
      <c r="AT55" s="88">
        <f>SUM($C$53:AT53)</f>
        <v>0</v>
      </c>
      <c r="AU55" s="88">
        <f>SUM($C$53:AU53)</f>
        <v>0</v>
      </c>
      <c r="AV55" s="88">
        <f>SUM($C$53:AV53)</f>
        <v>0</v>
      </c>
      <c r="AW55" s="88">
        <f>SUM($C$53:AW53)</f>
        <v>0</v>
      </c>
      <c r="AX55" s="88">
        <f>SUM($C$53:AX53)</f>
        <v>0</v>
      </c>
      <c r="AY55" s="88">
        <f>SUM($C$53:AY53)</f>
        <v>0</v>
      </c>
      <c r="AZ55" s="88">
        <f>SUM($C$53:AZ53)</f>
        <v>0</v>
      </c>
      <c r="BA55" s="88">
        <f>SUM($C$53:BA53)</f>
        <v>0</v>
      </c>
      <c r="BB55" s="88">
        <f>SUM($C$53:BB53)</f>
        <v>0</v>
      </c>
      <c r="BC55" s="88">
        <f>SUM($C$53:BC53)</f>
        <v>0</v>
      </c>
      <c r="BD55" s="88">
        <f>SUM($C$53:BD53)</f>
        <v>0</v>
      </c>
      <c r="BE55" s="88">
        <f>SUM($C$53:BE53)</f>
        <v>0</v>
      </c>
      <c r="BF55" s="88">
        <f>SUM($C$53:BF53)</f>
        <v>0</v>
      </c>
      <c r="BG55" s="88">
        <f>SUM($C$53:BG53)</f>
        <v>0</v>
      </c>
      <c r="BH55" s="88">
        <f>SUM($C$53:BH53)</f>
        <v>0</v>
      </c>
      <c r="BI55" s="88">
        <f>SUM($C$53:BI53)</f>
        <v>0</v>
      </c>
      <c r="BJ55" s="88">
        <f>SUM($C$53:BJ53)</f>
        <v>0</v>
      </c>
      <c r="BK55" s="88">
        <f>SUM($C$53:BK53)</f>
        <v>0</v>
      </c>
      <c r="BL55" s="88">
        <f>SUM($C$53:BL53)</f>
        <v>0</v>
      </c>
      <c r="BM55" s="88">
        <f>SUM($C$53:BM53)</f>
        <v>0</v>
      </c>
      <c r="BN55" s="88">
        <f>SUM($C$53:BN53)</f>
        <v>0</v>
      </c>
      <c r="BO55" s="88">
        <f>SUM($C$53:BO53)</f>
        <v>0</v>
      </c>
      <c r="BP55" s="88">
        <f>SUM($C$53:BP53)</f>
        <v>0</v>
      </c>
      <c r="BQ55" s="88">
        <f>SUM($C$53:BQ53)</f>
        <v>0</v>
      </c>
      <c r="BR55" s="88">
        <f>SUM($C$53:BR53)</f>
        <v>0</v>
      </c>
      <c r="BS55" s="88">
        <f>SUM($C$53:BS53)</f>
        <v>0</v>
      </c>
      <c r="BT55" s="88">
        <f>SUM($C$53:BT53)</f>
        <v>0</v>
      </c>
      <c r="BU55" s="88">
        <f>SUM($C$53:BU53)</f>
        <v>0</v>
      </c>
      <c r="BV55" s="88">
        <f>SUM($C$53:BV53)</f>
        <v>0</v>
      </c>
      <c r="BW55" s="88">
        <f>SUM($C$53:BW53)</f>
        <v>0</v>
      </c>
      <c r="BX55" s="88">
        <f>SUM($C$53:BX53)</f>
        <v>0</v>
      </c>
      <c r="BY55" s="88">
        <f>SUM($C$53:BY53)</f>
        <v>0</v>
      </c>
      <c r="BZ55" s="88">
        <f>SUM($C$53:BZ53)</f>
        <v>0</v>
      </c>
      <c r="CA55" s="88">
        <f>SUM($C$53:CA53)</f>
        <v>0</v>
      </c>
      <c r="CB55" s="88">
        <f>SUM($C$53:CB53)</f>
        <v>0</v>
      </c>
      <c r="CC55" s="88">
        <f>SUM($C$53:CC53)</f>
        <v>0</v>
      </c>
      <c r="CD55" s="88">
        <f>SUM($C$53:CD53)</f>
        <v>0</v>
      </c>
      <c r="CE55" s="88">
        <f>SUM($C$53:CE53)</f>
        <v>0</v>
      </c>
      <c r="CF55" s="88">
        <f>SUM($C$53:CF53)</f>
        <v>0</v>
      </c>
      <c r="CG55" s="88">
        <f>SUM($C$53:CG53)</f>
        <v>0</v>
      </c>
      <c r="CH55" s="88">
        <f>SUM($C$53:CH53)</f>
        <v>0</v>
      </c>
      <c r="CI55" s="88">
        <f>SUM($C$53:CI53)</f>
        <v>0</v>
      </c>
      <c r="CJ55" s="88">
        <f>SUM($C$53:CJ53)</f>
        <v>0</v>
      </c>
      <c r="CK55" s="88">
        <f>SUM($C$53:CK53)</f>
        <v>0</v>
      </c>
      <c r="CL55" s="88">
        <f>SUM($C$53:CL53)</f>
        <v>0</v>
      </c>
      <c r="CM55" s="88">
        <f>SUM($C$53:CM53)</f>
        <v>0</v>
      </c>
      <c r="CN55" s="88">
        <f>SUM($C$53:CN53)</f>
        <v>0</v>
      </c>
      <c r="CO55" s="88">
        <f>SUM($C$53:CO53)</f>
        <v>0</v>
      </c>
      <c r="CP55" s="88">
        <f>SUM($C$53:CP53)</f>
        <v>0</v>
      </c>
      <c r="CQ55" s="88">
        <f>SUM($C$53:CQ53)</f>
        <v>0</v>
      </c>
      <c r="CR55" s="88">
        <f>SUM($C$53:CR53)</f>
        <v>0</v>
      </c>
      <c r="CS55" s="88">
        <f>SUM($C$53:CS53)</f>
        <v>0</v>
      </c>
      <c r="CT55" s="88">
        <f>SUM($C$53:CT53)</f>
        <v>0</v>
      </c>
      <c r="CU55" s="88">
        <f>SUM($C$53:CU53)</f>
        <v>361</v>
      </c>
      <c r="CV55" s="88">
        <f>SUM($C$53:CV53)</f>
        <v>722</v>
      </c>
      <c r="CW55" s="88">
        <f>SUM($C$53:CW53)</f>
        <v>1083</v>
      </c>
      <c r="CX55" s="88">
        <f>SUM($C$53:CX53)</f>
        <v>1634.6666666666665</v>
      </c>
      <c r="CY55" s="88">
        <f>SUM($C$53:CY53)</f>
        <v>2186.333333333333</v>
      </c>
      <c r="CZ55" s="88">
        <f>SUM($C$53:CZ53)</f>
        <v>2737.9999999999995</v>
      </c>
      <c r="DA55" s="88">
        <f>SUM($C$53:DA53)</f>
        <v>3323.9999999999995</v>
      </c>
      <c r="DB55" s="88">
        <f>SUM($C$53:DB53)</f>
        <v>3909.9999999999995</v>
      </c>
      <c r="DC55" s="88">
        <f>SUM($C$53:DC53)</f>
        <v>4495</v>
      </c>
      <c r="DD55" s="88">
        <f>SUM($C$53:DD53)</f>
        <v>5040.333333333333</v>
      </c>
      <c r="DE55" s="88">
        <f>SUM($C$53:DE53)</f>
        <v>5585.333333333333</v>
      </c>
      <c r="DF55" s="88">
        <f>SUM($C$53:DF53)</f>
        <v>6131.333333333333</v>
      </c>
      <c r="DG55" s="88">
        <f>SUM($C$53:DG53)</f>
        <v>6463.333333333333</v>
      </c>
      <c r="DH55" s="88">
        <f>SUM($C$53:DH53)</f>
        <v>6795.333333333333</v>
      </c>
      <c r="DI55" s="88">
        <f>SUM($C$53:DI53)</f>
        <v>7127.333333333333</v>
      </c>
      <c r="DJ55" s="88">
        <f>SUM($C$53:DJ53)</f>
        <v>7568.333333333333</v>
      </c>
      <c r="DK55" s="88">
        <f>SUM($C$53:DK53)</f>
        <v>8009.333333333333</v>
      </c>
      <c r="DL55" s="88">
        <f>SUM($C$53:DL53)</f>
        <v>8450.3333333333321</v>
      </c>
      <c r="DM55" s="88">
        <f>SUM($C$53:DM53)</f>
        <v>8450.3333333333321</v>
      </c>
      <c r="DN55" s="88">
        <f>SUM($C$53:DN53)</f>
        <v>8450.3333333333321</v>
      </c>
      <c r="DO55" s="88">
        <f>SUM($C$53:DO53)</f>
        <v>8450.3333333333321</v>
      </c>
      <c r="DP55" s="88">
        <f>SUM($C$53:DP53)</f>
        <v>8450.3333333333321</v>
      </c>
      <c r="DQ55" s="88">
        <f>SUM($C$53:DQ53)</f>
        <v>8450.3333333333321</v>
      </c>
      <c r="DR55" s="88">
        <f>SUM($C$53:DR53)</f>
        <v>8450.3333333333321</v>
      </c>
      <c r="DS55" s="88">
        <f>SUM($C$53:DS53)</f>
        <v>8450.3333333333321</v>
      </c>
      <c r="DT55" s="88">
        <f>SUM($C$53:DT53)</f>
        <v>8450.3333333333321</v>
      </c>
      <c r="DU55" s="88">
        <f>SUM($C$53:DU53)</f>
        <v>8450.3333333333321</v>
      </c>
    </row>
    <row r="56" spans="2:125">
      <c r="B56" s="87" t="s">
        <v>213</v>
      </c>
      <c r="C56" s="88"/>
      <c r="D56" s="88"/>
      <c r="E56" s="88"/>
      <c r="F56" s="88"/>
      <c r="G56" s="88"/>
      <c r="H56" s="88"/>
      <c r="I56" s="88"/>
      <c r="J56" s="88"/>
      <c r="K56" s="88"/>
      <c r="L56" s="88"/>
      <c r="M56" s="88"/>
      <c r="N56" s="88">
        <f>SUM(B53:N53)</f>
        <v>0</v>
      </c>
      <c r="O56" s="88">
        <f>SUM(C53:O53)</f>
        <v>0</v>
      </c>
      <c r="P56" s="88">
        <f t="shared" ref="P56:AC56" si="1313">SUM(D53:P53)</f>
        <v>0</v>
      </c>
      <c r="Q56" s="88">
        <f t="shared" si="1313"/>
        <v>0</v>
      </c>
      <c r="R56" s="88">
        <f t="shared" si="1313"/>
        <v>0</v>
      </c>
      <c r="S56" s="88">
        <f t="shared" si="1313"/>
        <v>0</v>
      </c>
      <c r="T56" s="88">
        <f t="shared" si="1313"/>
        <v>0</v>
      </c>
      <c r="U56" s="88">
        <f t="shared" si="1313"/>
        <v>0</v>
      </c>
      <c r="V56" s="88">
        <f t="shared" si="1313"/>
        <v>0</v>
      </c>
      <c r="W56" s="88">
        <f t="shared" si="1313"/>
        <v>0</v>
      </c>
      <c r="X56" s="88">
        <f t="shared" si="1313"/>
        <v>0</v>
      </c>
      <c r="Y56" s="88">
        <f t="shared" si="1313"/>
        <v>0</v>
      </c>
      <c r="Z56" s="88">
        <f t="shared" si="1313"/>
        <v>0</v>
      </c>
      <c r="AA56" s="88">
        <f t="shared" si="1313"/>
        <v>0</v>
      </c>
      <c r="AB56" s="88">
        <f t="shared" si="1313"/>
        <v>0</v>
      </c>
      <c r="AC56" s="88">
        <f t="shared" si="1313"/>
        <v>0</v>
      </c>
      <c r="AD56" s="88">
        <f t="shared" ref="AD56" si="1314">SUM(R53:AD53)</f>
        <v>0</v>
      </c>
      <c r="AE56" s="88">
        <f t="shared" ref="AE56" si="1315">SUM(S53:AE53)</f>
        <v>0</v>
      </c>
      <c r="AF56" s="88">
        <f t="shared" ref="AF56" si="1316">SUM(T53:AF53)</f>
        <v>0</v>
      </c>
      <c r="AG56" s="88">
        <f t="shared" ref="AG56" si="1317">SUM(U53:AG53)</f>
        <v>0</v>
      </c>
      <c r="AH56" s="88">
        <f t="shared" ref="AH56" si="1318">SUM(V53:AH53)</f>
        <v>0</v>
      </c>
      <c r="AI56" s="88">
        <f t="shared" ref="AI56" si="1319">SUM(W53:AI53)</f>
        <v>0</v>
      </c>
      <c r="AJ56" s="88">
        <f t="shared" ref="AJ56" si="1320">SUM(X53:AJ53)</f>
        <v>0</v>
      </c>
      <c r="AK56" s="88">
        <f t="shared" ref="AK56" si="1321">SUM(Y53:AK53)</f>
        <v>0</v>
      </c>
      <c r="AL56" s="88">
        <f t="shared" ref="AL56" si="1322">SUM(Z53:AL53)</f>
        <v>0</v>
      </c>
      <c r="AM56" s="88">
        <f t="shared" ref="AM56" si="1323">SUM(AA53:AM53)</f>
        <v>0</v>
      </c>
      <c r="AN56" s="88">
        <f t="shared" ref="AN56" si="1324">SUM(AB53:AN53)</f>
        <v>0</v>
      </c>
      <c r="AO56" s="88">
        <f t="shared" ref="AO56" si="1325">SUM(AC53:AO53)</f>
        <v>0</v>
      </c>
      <c r="AP56" s="88">
        <f t="shared" ref="AP56" si="1326">SUM(AD53:AP53)</f>
        <v>0</v>
      </c>
      <c r="AQ56" s="88">
        <f t="shared" ref="AQ56" si="1327">SUM(AE53:AQ53)</f>
        <v>0</v>
      </c>
      <c r="AR56" s="88">
        <f t="shared" ref="AR56" si="1328">SUM(AF53:AR53)</f>
        <v>0</v>
      </c>
      <c r="AS56" s="88">
        <f t="shared" ref="AS56" si="1329">SUM(AG53:AS53)</f>
        <v>0</v>
      </c>
      <c r="AT56" s="88">
        <f t="shared" ref="AT56" si="1330">SUM(AH53:AT53)</f>
        <v>0</v>
      </c>
      <c r="AU56" s="88">
        <f t="shared" ref="AU56" si="1331">SUM(AI53:AU53)</f>
        <v>0</v>
      </c>
      <c r="AV56" s="88">
        <f t="shared" ref="AV56" si="1332">SUM(AJ53:AV53)</f>
        <v>0</v>
      </c>
      <c r="AW56" s="88">
        <f t="shared" ref="AW56" si="1333">SUM(AK53:AW53)</f>
        <v>0</v>
      </c>
      <c r="AX56" s="88">
        <f t="shared" ref="AX56" si="1334">SUM(AL53:AX53)</f>
        <v>0</v>
      </c>
      <c r="AY56" s="88">
        <f t="shared" ref="AY56" si="1335">SUM(AM53:AY53)</f>
        <v>0</v>
      </c>
      <c r="AZ56" s="88">
        <f t="shared" ref="AZ56" si="1336">SUM(AN53:AZ53)</f>
        <v>0</v>
      </c>
      <c r="BA56" s="88">
        <f t="shared" ref="BA56" si="1337">SUM(AO53:BA53)</f>
        <v>0</v>
      </c>
      <c r="BB56" s="88">
        <f t="shared" ref="BB56" si="1338">SUM(AP53:BB53)</f>
        <v>0</v>
      </c>
      <c r="BC56" s="88">
        <f t="shared" ref="BC56" si="1339">SUM(AQ53:BC53)</f>
        <v>0</v>
      </c>
      <c r="BD56" s="88">
        <f t="shared" ref="BD56" si="1340">SUM(AR53:BD53)</f>
        <v>0</v>
      </c>
      <c r="BE56" s="88">
        <f t="shared" ref="BE56" si="1341">SUM(AS53:BE53)</f>
        <v>0</v>
      </c>
      <c r="BF56" s="88">
        <f t="shared" ref="BF56" si="1342">SUM(AT53:BF53)</f>
        <v>0</v>
      </c>
      <c r="BG56" s="88">
        <f t="shared" ref="BG56" si="1343">SUM(AU53:BG53)</f>
        <v>0</v>
      </c>
      <c r="BH56" s="88">
        <f t="shared" ref="BH56" si="1344">SUM(AV53:BH53)</f>
        <v>0</v>
      </c>
      <c r="BI56" s="88">
        <f t="shared" ref="BI56" si="1345">SUM(AW53:BI53)</f>
        <v>0</v>
      </c>
      <c r="BJ56" s="88">
        <f t="shared" ref="BJ56" si="1346">SUM(AX53:BJ53)</f>
        <v>0</v>
      </c>
      <c r="BK56" s="88">
        <f t="shared" ref="BK56" si="1347">SUM(AY53:BK53)</f>
        <v>0</v>
      </c>
      <c r="BL56" s="88">
        <f t="shared" ref="BL56" si="1348">SUM(AZ53:BL53)</f>
        <v>0</v>
      </c>
      <c r="BM56" s="88">
        <f t="shared" ref="BM56" si="1349">SUM(BA53:BM53)</f>
        <v>0</v>
      </c>
      <c r="BN56" s="88">
        <f t="shared" ref="BN56" si="1350">SUM(BB53:BN53)</f>
        <v>0</v>
      </c>
      <c r="BO56" s="88">
        <f t="shared" ref="BO56" si="1351">SUM(BC53:BO53)</f>
        <v>0</v>
      </c>
      <c r="BP56" s="88">
        <f t="shared" ref="BP56" si="1352">SUM(BD53:BP53)</f>
        <v>0</v>
      </c>
      <c r="BQ56" s="88">
        <f t="shared" ref="BQ56" si="1353">SUM(BE53:BQ53)</f>
        <v>0</v>
      </c>
      <c r="BR56" s="88">
        <f t="shared" ref="BR56" si="1354">SUM(BF53:BR53)</f>
        <v>0</v>
      </c>
      <c r="BS56" s="88">
        <f t="shared" ref="BS56" si="1355">SUM(BG53:BS53)</f>
        <v>0</v>
      </c>
      <c r="BT56" s="88">
        <f t="shared" ref="BT56" si="1356">SUM(BH53:BT53)</f>
        <v>0</v>
      </c>
      <c r="BU56" s="88">
        <f t="shared" ref="BU56" si="1357">SUM(BI53:BU53)</f>
        <v>0</v>
      </c>
      <c r="BV56" s="88">
        <f t="shared" ref="BV56" si="1358">SUM(BJ53:BV53)</f>
        <v>0</v>
      </c>
      <c r="BW56" s="88">
        <f t="shared" ref="BW56" si="1359">SUM(BK53:BW53)</f>
        <v>0</v>
      </c>
      <c r="BX56" s="88">
        <f t="shared" ref="BX56" si="1360">SUM(BL53:BX53)</f>
        <v>0</v>
      </c>
      <c r="BY56" s="88">
        <f t="shared" ref="BY56" si="1361">SUM(BM53:BY53)</f>
        <v>0</v>
      </c>
      <c r="BZ56" s="88">
        <f t="shared" ref="BZ56" si="1362">SUM(BN53:BZ53)</f>
        <v>0</v>
      </c>
      <c r="CA56" s="88">
        <f t="shared" ref="CA56" si="1363">SUM(BO53:CA53)</f>
        <v>0</v>
      </c>
      <c r="CB56" s="88">
        <f t="shared" ref="CB56" si="1364">SUM(BP53:CB53)</f>
        <v>0</v>
      </c>
      <c r="CC56" s="88">
        <f t="shared" ref="CC56" si="1365">SUM(BQ53:CC53)</f>
        <v>0</v>
      </c>
      <c r="CD56" s="88">
        <f t="shared" ref="CD56" si="1366">SUM(BR53:CD53)</f>
        <v>0</v>
      </c>
      <c r="CE56" s="88">
        <f t="shared" ref="CE56" si="1367">SUM(BS53:CE53)</f>
        <v>0</v>
      </c>
      <c r="CF56" s="88">
        <f t="shared" ref="CF56" si="1368">SUM(BT53:CF53)</f>
        <v>0</v>
      </c>
      <c r="CG56" s="88">
        <f t="shared" ref="CG56" si="1369">SUM(BU53:CG53)</f>
        <v>0</v>
      </c>
      <c r="CH56" s="88">
        <f t="shared" ref="CH56" si="1370">SUM(BV53:CH53)</f>
        <v>0</v>
      </c>
      <c r="CI56" s="88">
        <f t="shared" ref="CI56" si="1371">SUM(BW53:CI53)</f>
        <v>0</v>
      </c>
      <c r="CJ56" s="88">
        <f t="shared" ref="CJ56" si="1372">SUM(BX53:CJ53)</f>
        <v>0</v>
      </c>
      <c r="CK56" s="88">
        <f t="shared" ref="CK56" si="1373">SUM(BY53:CK53)</f>
        <v>0</v>
      </c>
      <c r="CL56" s="88">
        <f t="shared" ref="CL56" si="1374">SUM(BZ53:CL53)</f>
        <v>0</v>
      </c>
      <c r="CM56" s="88">
        <f t="shared" ref="CM56" si="1375">SUM(CA53:CM53)</f>
        <v>0</v>
      </c>
      <c r="CN56" s="88">
        <f t="shared" ref="CN56" si="1376">SUM(CB53:CN53)</f>
        <v>0</v>
      </c>
      <c r="CO56" s="88">
        <f t="shared" ref="CO56" si="1377">SUM(CC53:CO53)</f>
        <v>0</v>
      </c>
      <c r="CP56" s="88">
        <f t="shared" ref="CP56" si="1378">SUM(CD53:CP53)</f>
        <v>0</v>
      </c>
      <c r="CQ56" s="88">
        <f t="shared" ref="CQ56" si="1379">SUM(CE53:CQ53)</f>
        <v>0</v>
      </c>
      <c r="CR56" s="88">
        <f t="shared" ref="CR56" si="1380">SUM(CF53:CR53)</f>
        <v>0</v>
      </c>
      <c r="CS56" s="88">
        <f t="shared" ref="CS56" si="1381">SUM(CG53:CS53)</f>
        <v>0</v>
      </c>
      <c r="CT56" s="88">
        <f t="shared" ref="CT56" si="1382">SUM(CH53:CT53)</f>
        <v>0</v>
      </c>
      <c r="CU56" s="88">
        <f t="shared" ref="CU56" si="1383">SUM(CI53:CU53)</f>
        <v>361</v>
      </c>
      <c r="CV56" s="88">
        <f t="shared" ref="CV56" si="1384">SUM(CJ53:CV53)</f>
        <v>722</v>
      </c>
      <c r="CW56" s="88">
        <f t="shared" ref="CW56" si="1385">SUM(CK53:CW53)</f>
        <v>1083</v>
      </c>
      <c r="CX56" s="88">
        <f t="shared" ref="CX56" si="1386">SUM(CL53:CX53)</f>
        <v>1634.6666666666665</v>
      </c>
      <c r="CY56" s="88">
        <f t="shared" ref="CY56" si="1387">SUM(CM53:CY53)</f>
        <v>2186.333333333333</v>
      </c>
      <c r="CZ56" s="88">
        <f t="shared" ref="CZ56" si="1388">SUM(CN53:CZ53)</f>
        <v>2737.9999999999995</v>
      </c>
      <c r="DA56" s="88">
        <f t="shared" ref="DA56" si="1389">SUM(CO53:DA53)</f>
        <v>3323.9999999999995</v>
      </c>
      <c r="DB56" s="88">
        <f t="shared" ref="DB56" si="1390">SUM(CP53:DB53)</f>
        <v>3909.9999999999995</v>
      </c>
      <c r="DC56" s="88">
        <f t="shared" ref="DC56" si="1391">SUM(CQ53:DC53)</f>
        <v>4495</v>
      </c>
      <c r="DD56" s="88">
        <f t="shared" ref="DD56" si="1392">SUM(CR53:DD53)</f>
        <v>5040.333333333333</v>
      </c>
      <c r="DE56" s="88">
        <f t="shared" ref="DE56" si="1393">SUM(CS53:DE53)</f>
        <v>5585.333333333333</v>
      </c>
      <c r="DF56" s="88">
        <f t="shared" ref="DF56" si="1394">SUM(CT53:DF53)</f>
        <v>6131.333333333333</v>
      </c>
      <c r="DG56" s="88">
        <f t="shared" ref="DG56" si="1395">SUM(CU53:DG53)</f>
        <v>6463.333333333333</v>
      </c>
      <c r="DH56" s="88">
        <f t="shared" ref="DH56" si="1396">SUM(CV53:DH53)</f>
        <v>6434.333333333333</v>
      </c>
      <c r="DI56" s="88">
        <f t="shared" ref="DI56" si="1397">SUM(CW53:DI53)</f>
        <v>6405.333333333333</v>
      </c>
      <c r="DJ56" s="88">
        <f t="shared" ref="DJ56" si="1398">SUM(CX53:DJ53)</f>
        <v>6485.3333333333339</v>
      </c>
      <c r="DK56" s="88">
        <f t="shared" ref="DK56" si="1399">SUM(CY53:DK53)</f>
        <v>6374.6666666666661</v>
      </c>
      <c r="DL56" s="88">
        <f t="shared" ref="DL56" si="1400">SUM(CZ53:DL53)</f>
        <v>6264</v>
      </c>
      <c r="DM56" s="88">
        <f t="shared" ref="DM56" si="1401">SUM(DA53:DM53)</f>
        <v>5712.3333333333339</v>
      </c>
      <c r="DN56" s="88">
        <f t="shared" ref="DN56" si="1402">SUM(DB53:DN53)</f>
        <v>5126.3333333333339</v>
      </c>
      <c r="DO56" s="88">
        <f t="shared" ref="DO56" si="1403">SUM(DC53:DO53)</f>
        <v>4540.3333333333339</v>
      </c>
      <c r="DP56" s="88">
        <f t="shared" ref="DP56" si="1404">SUM(DD53:DP53)</f>
        <v>3955.3333333333335</v>
      </c>
      <c r="DQ56" s="88">
        <f t="shared" ref="DQ56" si="1405">SUM(DE53:DQ53)</f>
        <v>3410</v>
      </c>
      <c r="DR56" s="88">
        <f t="shared" ref="DR56" si="1406">SUM(DF53:DR53)</f>
        <v>2865</v>
      </c>
      <c r="DS56" s="88">
        <f t="shared" ref="DS56" si="1407">SUM(DG53:DS53)</f>
        <v>2319</v>
      </c>
      <c r="DT56" s="88">
        <f t="shared" ref="DT56:DU56" si="1408">SUM(DH53:DT53)</f>
        <v>1987</v>
      </c>
      <c r="DU56" s="88">
        <f t="shared" si="1408"/>
        <v>1655</v>
      </c>
    </row>
    <row r="58" spans="2:125" outlineLevel="1">
      <c r="B58" s="419"/>
      <c r="C58" s="420">
        <f>YEAR(C59)</f>
        <v>2016</v>
      </c>
      <c r="D58" s="420">
        <f t="shared" ref="D58:O58" si="1409">YEAR(D59)</f>
        <v>2016</v>
      </c>
      <c r="E58" s="420">
        <f t="shared" si="1409"/>
        <v>2016</v>
      </c>
      <c r="F58" s="420">
        <f t="shared" si="1409"/>
        <v>2016</v>
      </c>
      <c r="G58" s="420">
        <f t="shared" si="1409"/>
        <v>2016</v>
      </c>
      <c r="H58" s="420">
        <f t="shared" si="1409"/>
        <v>2016</v>
      </c>
      <c r="I58" s="420">
        <f t="shared" si="1409"/>
        <v>2016</v>
      </c>
      <c r="J58" s="420">
        <f t="shared" si="1409"/>
        <v>2016</v>
      </c>
      <c r="K58" s="420">
        <f t="shared" si="1409"/>
        <v>2016</v>
      </c>
      <c r="L58" s="420">
        <f t="shared" si="1409"/>
        <v>2016</v>
      </c>
      <c r="M58" s="420">
        <f t="shared" si="1409"/>
        <v>2016</v>
      </c>
      <c r="N58" s="420">
        <f t="shared" si="1409"/>
        <v>2016</v>
      </c>
      <c r="O58" s="420">
        <f t="shared" si="1409"/>
        <v>2017</v>
      </c>
      <c r="P58" s="420">
        <f t="shared" ref="P58:CE58" si="1410">YEAR(P59)</f>
        <v>2017</v>
      </c>
      <c r="Q58" s="420">
        <f t="shared" si="1410"/>
        <v>2017</v>
      </c>
      <c r="R58" s="420">
        <f t="shared" si="1410"/>
        <v>2017</v>
      </c>
      <c r="S58" s="420">
        <f t="shared" si="1410"/>
        <v>2017</v>
      </c>
      <c r="T58" s="420">
        <f t="shared" si="1410"/>
        <v>2017</v>
      </c>
      <c r="U58" s="420">
        <f t="shared" si="1410"/>
        <v>2017</v>
      </c>
      <c r="V58" s="420">
        <f t="shared" si="1410"/>
        <v>2017</v>
      </c>
      <c r="W58" s="420">
        <f t="shared" si="1410"/>
        <v>2017</v>
      </c>
      <c r="X58" s="420">
        <f t="shared" si="1410"/>
        <v>2017</v>
      </c>
      <c r="Y58" s="420">
        <f t="shared" si="1410"/>
        <v>2017</v>
      </c>
      <c r="Z58" s="420">
        <f t="shared" si="1410"/>
        <v>2017</v>
      </c>
      <c r="AA58" s="420">
        <f t="shared" si="1410"/>
        <v>2018</v>
      </c>
      <c r="AB58" s="420">
        <f t="shared" si="1410"/>
        <v>2018</v>
      </c>
      <c r="AC58" s="420">
        <f t="shared" si="1410"/>
        <v>2018</v>
      </c>
      <c r="AD58" s="420">
        <f t="shared" si="1410"/>
        <v>2018</v>
      </c>
      <c r="AE58" s="420">
        <f t="shared" si="1410"/>
        <v>2018</v>
      </c>
      <c r="AF58" s="420">
        <f t="shared" si="1410"/>
        <v>2018</v>
      </c>
      <c r="AG58" s="420">
        <f t="shared" si="1410"/>
        <v>2018</v>
      </c>
      <c r="AH58" s="420">
        <f t="shared" si="1410"/>
        <v>2018</v>
      </c>
      <c r="AI58" s="420">
        <f t="shared" si="1410"/>
        <v>2018</v>
      </c>
      <c r="AJ58" s="420">
        <f t="shared" si="1410"/>
        <v>2018</v>
      </c>
      <c r="AK58" s="420">
        <f t="shared" si="1410"/>
        <v>2018</v>
      </c>
      <c r="AL58" s="420">
        <f t="shared" si="1410"/>
        <v>2018</v>
      </c>
      <c r="AM58" s="420">
        <f t="shared" si="1410"/>
        <v>2019</v>
      </c>
      <c r="AN58" s="420">
        <f t="shared" si="1410"/>
        <v>2019</v>
      </c>
      <c r="AO58" s="420">
        <f t="shared" si="1410"/>
        <v>2019</v>
      </c>
      <c r="AP58" s="420">
        <f t="shared" si="1410"/>
        <v>2019</v>
      </c>
      <c r="AQ58" s="420">
        <f t="shared" si="1410"/>
        <v>2019</v>
      </c>
      <c r="AR58" s="420">
        <f t="shared" si="1410"/>
        <v>2019</v>
      </c>
      <c r="AS58" s="420">
        <f t="shared" si="1410"/>
        <v>2019</v>
      </c>
      <c r="AT58" s="420">
        <f t="shared" si="1410"/>
        <v>2019</v>
      </c>
      <c r="AU58" s="420">
        <f t="shared" si="1410"/>
        <v>2019</v>
      </c>
      <c r="AV58" s="420">
        <f t="shared" si="1410"/>
        <v>2019</v>
      </c>
      <c r="AW58" s="420">
        <f t="shared" si="1410"/>
        <v>2019</v>
      </c>
      <c r="AX58" s="420">
        <f t="shared" si="1410"/>
        <v>2019</v>
      </c>
      <c r="AY58" s="420">
        <f t="shared" si="1410"/>
        <v>2020</v>
      </c>
      <c r="AZ58" s="420">
        <f t="shared" si="1410"/>
        <v>2020</v>
      </c>
      <c r="BA58" s="420">
        <f t="shared" si="1410"/>
        <v>2020</v>
      </c>
      <c r="BB58" s="420">
        <f t="shared" si="1410"/>
        <v>2020</v>
      </c>
      <c r="BC58" s="420">
        <f t="shared" si="1410"/>
        <v>2020</v>
      </c>
      <c r="BD58" s="420">
        <f t="shared" si="1410"/>
        <v>2020</v>
      </c>
      <c r="BE58" s="420">
        <f t="shared" si="1410"/>
        <v>2020</v>
      </c>
      <c r="BF58" s="420">
        <f t="shared" si="1410"/>
        <v>2020</v>
      </c>
      <c r="BG58" s="420">
        <f t="shared" si="1410"/>
        <v>2020</v>
      </c>
      <c r="BH58" s="420">
        <f t="shared" si="1410"/>
        <v>2020</v>
      </c>
      <c r="BI58" s="420">
        <f t="shared" si="1410"/>
        <v>2020</v>
      </c>
      <c r="BJ58" s="420">
        <f t="shared" si="1410"/>
        <v>2020</v>
      </c>
      <c r="BK58" s="420">
        <f t="shared" si="1410"/>
        <v>2021</v>
      </c>
      <c r="BL58" s="420">
        <f t="shared" si="1410"/>
        <v>2021</v>
      </c>
      <c r="BM58" s="420">
        <f t="shared" si="1410"/>
        <v>2021</v>
      </c>
      <c r="BN58" s="420">
        <f t="shared" si="1410"/>
        <v>2021</v>
      </c>
      <c r="BO58" s="420">
        <f t="shared" si="1410"/>
        <v>2021</v>
      </c>
      <c r="BP58" s="420">
        <f t="shared" si="1410"/>
        <v>2021</v>
      </c>
      <c r="BQ58" s="420">
        <f t="shared" si="1410"/>
        <v>2021</v>
      </c>
      <c r="BR58" s="420">
        <f t="shared" si="1410"/>
        <v>2021</v>
      </c>
      <c r="BS58" s="420">
        <f t="shared" si="1410"/>
        <v>2021</v>
      </c>
      <c r="BT58" s="420">
        <f t="shared" si="1410"/>
        <v>2021</v>
      </c>
      <c r="BU58" s="420">
        <f t="shared" si="1410"/>
        <v>2021</v>
      </c>
      <c r="BV58" s="420">
        <f t="shared" si="1410"/>
        <v>2021</v>
      </c>
      <c r="BW58" s="420">
        <f t="shared" si="1410"/>
        <v>2022</v>
      </c>
      <c r="BX58" s="420">
        <f t="shared" si="1410"/>
        <v>2022</v>
      </c>
      <c r="BY58" s="420">
        <f t="shared" si="1410"/>
        <v>2022</v>
      </c>
      <c r="BZ58" s="420">
        <f t="shared" si="1410"/>
        <v>2022</v>
      </c>
      <c r="CA58" s="420">
        <f t="shared" si="1410"/>
        <v>2022</v>
      </c>
      <c r="CB58" s="420">
        <f t="shared" si="1410"/>
        <v>2022</v>
      </c>
      <c r="CC58" s="420">
        <f t="shared" si="1410"/>
        <v>2022</v>
      </c>
      <c r="CD58" s="420">
        <f t="shared" si="1410"/>
        <v>2022</v>
      </c>
      <c r="CE58" s="420">
        <f t="shared" si="1410"/>
        <v>2022</v>
      </c>
      <c r="CF58" s="420">
        <f t="shared" ref="CF58:DU58" si="1411">YEAR(CF59)</f>
        <v>2022</v>
      </c>
      <c r="CG58" s="420">
        <f t="shared" si="1411"/>
        <v>2022</v>
      </c>
      <c r="CH58" s="420">
        <f t="shared" si="1411"/>
        <v>2022</v>
      </c>
      <c r="CI58" s="420">
        <f t="shared" si="1411"/>
        <v>2023</v>
      </c>
      <c r="CJ58" s="420">
        <f t="shared" si="1411"/>
        <v>2023</v>
      </c>
      <c r="CK58" s="420">
        <f t="shared" si="1411"/>
        <v>2023</v>
      </c>
      <c r="CL58" s="420">
        <f t="shared" si="1411"/>
        <v>2023</v>
      </c>
      <c r="CM58" s="420">
        <f t="shared" si="1411"/>
        <v>2023</v>
      </c>
      <c r="CN58" s="420">
        <f t="shared" si="1411"/>
        <v>2023</v>
      </c>
      <c r="CO58" s="420">
        <f t="shared" si="1411"/>
        <v>2023</v>
      </c>
      <c r="CP58" s="420">
        <f t="shared" si="1411"/>
        <v>2023</v>
      </c>
      <c r="CQ58" s="420">
        <f t="shared" si="1411"/>
        <v>2023</v>
      </c>
      <c r="CR58" s="420">
        <f t="shared" si="1411"/>
        <v>2023</v>
      </c>
      <c r="CS58" s="420">
        <f t="shared" si="1411"/>
        <v>2023</v>
      </c>
      <c r="CT58" s="420">
        <f t="shared" si="1411"/>
        <v>2023</v>
      </c>
      <c r="CU58" s="420">
        <f t="shared" si="1411"/>
        <v>2024</v>
      </c>
      <c r="CV58" s="420">
        <f t="shared" si="1411"/>
        <v>2024</v>
      </c>
      <c r="CW58" s="420">
        <f t="shared" si="1411"/>
        <v>2024</v>
      </c>
      <c r="CX58" s="420">
        <f t="shared" si="1411"/>
        <v>2024</v>
      </c>
      <c r="CY58" s="420">
        <f t="shared" si="1411"/>
        <v>2024</v>
      </c>
      <c r="CZ58" s="420">
        <f t="shared" si="1411"/>
        <v>2024</v>
      </c>
      <c r="DA58" s="420">
        <f t="shared" si="1411"/>
        <v>2024</v>
      </c>
      <c r="DB58" s="420">
        <f t="shared" si="1411"/>
        <v>2024</v>
      </c>
      <c r="DC58" s="420">
        <f t="shared" si="1411"/>
        <v>2024</v>
      </c>
      <c r="DD58" s="420">
        <f t="shared" si="1411"/>
        <v>2024</v>
      </c>
      <c r="DE58" s="420">
        <f t="shared" si="1411"/>
        <v>2024</v>
      </c>
      <c r="DF58" s="420">
        <f t="shared" si="1411"/>
        <v>2024</v>
      </c>
      <c r="DG58" s="420">
        <f t="shared" si="1411"/>
        <v>2025</v>
      </c>
      <c r="DH58" s="420">
        <f t="shared" si="1411"/>
        <v>2025</v>
      </c>
      <c r="DI58" s="420">
        <f t="shared" si="1411"/>
        <v>2025</v>
      </c>
      <c r="DJ58" s="420">
        <f t="shared" si="1411"/>
        <v>2025</v>
      </c>
      <c r="DK58" s="420">
        <f t="shared" si="1411"/>
        <v>2025</v>
      </c>
      <c r="DL58" s="420">
        <f t="shared" si="1411"/>
        <v>2025</v>
      </c>
      <c r="DM58" s="420">
        <f t="shared" si="1411"/>
        <v>2025</v>
      </c>
      <c r="DN58" s="420">
        <f t="shared" si="1411"/>
        <v>2025</v>
      </c>
      <c r="DO58" s="420">
        <f t="shared" si="1411"/>
        <v>2025</v>
      </c>
      <c r="DP58" s="420">
        <f t="shared" si="1411"/>
        <v>2025</v>
      </c>
      <c r="DQ58" s="420">
        <f t="shared" si="1411"/>
        <v>2025</v>
      </c>
      <c r="DR58" s="420">
        <f t="shared" si="1411"/>
        <v>2025</v>
      </c>
      <c r="DS58" s="420">
        <f t="shared" si="1411"/>
        <v>2026</v>
      </c>
      <c r="DT58" s="420">
        <f t="shared" si="1411"/>
        <v>2026</v>
      </c>
      <c r="DU58" s="420">
        <f t="shared" si="1411"/>
        <v>2026</v>
      </c>
    </row>
    <row r="59" spans="2:125">
      <c r="B59" s="369" t="s">
        <v>214</v>
      </c>
      <c r="C59" s="370">
        <f>$C$3</f>
        <v>42400</v>
      </c>
      <c r="D59" s="370">
        <f>EOMONTH(C59,1)</f>
        <v>42429</v>
      </c>
      <c r="E59" s="370">
        <f t="shared" ref="E59:AI59" si="1412">EOMONTH(D59,1)</f>
        <v>42460</v>
      </c>
      <c r="F59" s="370">
        <f t="shared" si="1412"/>
        <v>42490</v>
      </c>
      <c r="G59" s="370">
        <f t="shared" si="1412"/>
        <v>42521</v>
      </c>
      <c r="H59" s="370">
        <f t="shared" si="1412"/>
        <v>42551</v>
      </c>
      <c r="I59" s="370">
        <f t="shared" si="1412"/>
        <v>42582</v>
      </c>
      <c r="J59" s="370">
        <f t="shared" si="1412"/>
        <v>42613</v>
      </c>
      <c r="K59" s="370">
        <f t="shared" si="1412"/>
        <v>42643</v>
      </c>
      <c r="L59" s="370">
        <f t="shared" si="1412"/>
        <v>42674</v>
      </c>
      <c r="M59" s="370">
        <f t="shared" si="1412"/>
        <v>42704</v>
      </c>
      <c r="N59" s="370">
        <f t="shared" si="1412"/>
        <v>42735</v>
      </c>
      <c r="O59" s="370">
        <f t="shared" si="1412"/>
        <v>42766</v>
      </c>
      <c r="P59" s="370">
        <f t="shared" si="1412"/>
        <v>42794</v>
      </c>
      <c r="Q59" s="370">
        <f t="shared" si="1412"/>
        <v>42825</v>
      </c>
      <c r="R59" s="370">
        <f t="shared" si="1412"/>
        <v>42855</v>
      </c>
      <c r="S59" s="370">
        <f t="shared" si="1412"/>
        <v>42886</v>
      </c>
      <c r="T59" s="370">
        <f t="shared" si="1412"/>
        <v>42916</v>
      </c>
      <c r="U59" s="370">
        <f t="shared" si="1412"/>
        <v>42947</v>
      </c>
      <c r="V59" s="370">
        <f t="shared" si="1412"/>
        <v>42978</v>
      </c>
      <c r="W59" s="370">
        <f t="shared" si="1412"/>
        <v>43008</v>
      </c>
      <c r="X59" s="370">
        <f t="shared" si="1412"/>
        <v>43039</v>
      </c>
      <c r="Y59" s="370">
        <f t="shared" si="1412"/>
        <v>43069</v>
      </c>
      <c r="Z59" s="370">
        <f t="shared" si="1412"/>
        <v>43100</v>
      </c>
      <c r="AA59" s="370">
        <f t="shared" si="1412"/>
        <v>43131</v>
      </c>
      <c r="AB59" s="370">
        <f t="shared" si="1412"/>
        <v>43159</v>
      </c>
      <c r="AC59" s="370">
        <f t="shared" si="1412"/>
        <v>43190</v>
      </c>
      <c r="AD59" s="370">
        <f t="shared" si="1412"/>
        <v>43220</v>
      </c>
      <c r="AE59" s="370">
        <f t="shared" si="1412"/>
        <v>43251</v>
      </c>
      <c r="AF59" s="370">
        <f t="shared" ref="AF59" si="1413">EOMONTH(AE59,1)</f>
        <v>43281</v>
      </c>
      <c r="AG59" s="370">
        <f t="shared" ref="AG59" si="1414">EOMONTH(AF59,1)</f>
        <v>43312</v>
      </c>
      <c r="AH59" s="370">
        <f t="shared" ref="AH59" si="1415">EOMONTH(AG59,1)</f>
        <v>43343</v>
      </c>
      <c r="AI59" s="370">
        <f t="shared" si="1412"/>
        <v>43373</v>
      </c>
      <c r="AJ59" s="370">
        <f t="shared" ref="AJ59" si="1416">EOMONTH(AI59,1)</f>
        <v>43404</v>
      </c>
      <c r="AK59" s="370">
        <f t="shared" ref="AK59" si="1417">EOMONTH(AJ59,1)</f>
        <v>43434</v>
      </c>
      <c r="AL59" s="370">
        <f t="shared" ref="AL59" si="1418">EOMONTH(AK59,1)</f>
        <v>43465</v>
      </c>
      <c r="AM59" s="370">
        <f t="shared" ref="AM59" si="1419">EOMONTH(AL59,1)</f>
        <v>43496</v>
      </c>
      <c r="AN59" s="370">
        <f t="shared" ref="AN59" si="1420">EOMONTH(AM59,1)</f>
        <v>43524</v>
      </c>
      <c r="AO59" s="370">
        <f t="shared" ref="AO59" si="1421">EOMONTH(AN59,1)</f>
        <v>43555</v>
      </c>
      <c r="AP59" s="370">
        <f t="shared" ref="AP59" si="1422">EOMONTH(AO59,1)</f>
        <v>43585</v>
      </c>
      <c r="AQ59" s="370">
        <f t="shared" ref="AQ59" si="1423">EOMONTH(AP59,1)</f>
        <v>43616</v>
      </c>
      <c r="AR59" s="370">
        <f t="shared" ref="AR59" si="1424">EOMONTH(AQ59,1)</f>
        <v>43646</v>
      </c>
      <c r="AS59" s="370">
        <f t="shared" ref="AS59" si="1425">EOMONTH(AR59,1)</f>
        <v>43677</v>
      </c>
      <c r="AT59" s="370">
        <f t="shared" ref="AT59" si="1426">EOMONTH(AS59,1)</f>
        <v>43708</v>
      </c>
      <c r="AU59" s="370">
        <f t="shared" ref="AU59" si="1427">EOMONTH(AT59,1)</f>
        <v>43738</v>
      </c>
      <c r="AV59" s="370">
        <f t="shared" ref="AV59" si="1428">EOMONTH(AU59,1)</f>
        <v>43769</v>
      </c>
      <c r="AW59" s="370">
        <f t="shared" ref="AW59" si="1429">EOMONTH(AV59,1)</f>
        <v>43799</v>
      </c>
      <c r="AX59" s="370">
        <f t="shared" ref="AX59" si="1430">EOMONTH(AW59,1)</f>
        <v>43830</v>
      </c>
      <c r="AY59" s="370">
        <f t="shared" ref="AY59" si="1431">EOMONTH(AX59,1)</f>
        <v>43861</v>
      </c>
      <c r="AZ59" s="370">
        <f t="shared" ref="AZ59" si="1432">EOMONTH(AY59,1)</f>
        <v>43890</v>
      </c>
      <c r="BA59" s="370">
        <f t="shared" ref="BA59" si="1433">EOMONTH(AZ59,1)</f>
        <v>43921</v>
      </c>
      <c r="BB59" s="370">
        <f t="shared" ref="BB59" si="1434">EOMONTH(BA59,1)</f>
        <v>43951</v>
      </c>
      <c r="BC59" s="370">
        <f t="shared" ref="BC59" si="1435">EOMONTH(BB59,1)</f>
        <v>43982</v>
      </c>
      <c r="BD59" s="370">
        <f t="shared" ref="BD59" si="1436">EOMONTH(BC59,1)</f>
        <v>44012</v>
      </c>
      <c r="BE59" s="370">
        <f t="shared" ref="BE59" si="1437">EOMONTH(BD59,1)</f>
        <v>44043</v>
      </c>
      <c r="BF59" s="370">
        <f t="shared" ref="BF59" si="1438">EOMONTH(BE59,1)</f>
        <v>44074</v>
      </c>
      <c r="BG59" s="370">
        <f t="shared" ref="BG59" si="1439">EOMONTH(BF59,1)</f>
        <v>44104</v>
      </c>
      <c r="BH59" s="370">
        <f t="shared" ref="BH59" si="1440">EOMONTH(BG59,1)</f>
        <v>44135</v>
      </c>
      <c r="BI59" s="370">
        <f t="shared" ref="BI59" si="1441">EOMONTH(BH59,1)</f>
        <v>44165</v>
      </c>
      <c r="BJ59" s="370">
        <f t="shared" ref="BJ59" si="1442">EOMONTH(BI59,1)</f>
        <v>44196</v>
      </c>
      <c r="BK59" s="370">
        <f t="shared" ref="BK59" si="1443">EOMONTH(BJ59,1)</f>
        <v>44227</v>
      </c>
      <c r="BL59" s="370">
        <f t="shared" ref="BL59" si="1444">EOMONTH(BK59,1)</f>
        <v>44255</v>
      </c>
      <c r="BM59" s="370">
        <f t="shared" ref="BM59" si="1445">EOMONTH(BL59,1)</f>
        <v>44286</v>
      </c>
      <c r="BN59" s="370">
        <f t="shared" ref="BN59" si="1446">EOMONTH(BM59,1)</f>
        <v>44316</v>
      </c>
      <c r="BO59" s="370">
        <f t="shared" ref="BO59" si="1447">EOMONTH(BN59,1)</f>
        <v>44347</v>
      </c>
      <c r="BP59" s="370">
        <f t="shared" ref="BP59" si="1448">EOMONTH(BO59,1)</f>
        <v>44377</v>
      </c>
      <c r="BQ59" s="370">
        <f t="shared" ref="BQ59" si="1449">EOMONTH(BP59,1)</f>
        <v>44408</v>
      </c>
      <c r="BR59" s="370">
        <f t="shared" ref="BR59" si="1450">EOMONTH(BQ59,1)</f>
        <v>44439</v>
      </c>
      <c r="BS59" s="370">
        <f t="shared" ref="BS59" si="1451">EOMONTH(BR59,1)</f>
        <v>44469</v>
      </c>
      <c r="BT59" s="370">
        <f t="shared" ref="BT59" si="1452">EOMONTH(BS59,1)</f>
        <v>44500</v>
      </c>
      <c r="BU59" s="370">
        <f>EOMONTH(BT59,1)</f>
        <v>44530</v>
      </c>
      <c r="BV59" s="370">
        <f t="shared" ref="BV59:BW59" si="1453">EOMONTH(BU59,1)</f>
        <v>44561</v>
      </c>
      <c r="BW59" s="370">
        <f t="shared" si="1453"/>
        <v>44592</v>
      </c>
      <c r="BX59" s="370">
        <f t="shared" ref="BX59:BY59" si="1454">EOMONTH(BW59,1)</f>
        <v>44620</v>
      </c>
      <c r="BY59" s="370">
        <f t="shared" si="1454"/>
        <v>44651</v>
      </c>
      <c r="BZ59" s="370">
        <f t="shared" ref="BZ59:CA59" si="1455">EOMONTH(BY59,1)</f>
        <v>44681</v>
      </c>
      <c r="CA59" s="370">
        <f t="shared" si="1455"/>
        <v>44712</v>
      </c>
      <c r="CB59" s="370">
        <f t="shared" ref="CB59:CC59" si="1456">EOMONTH(CA59,1)</f>
        <v>44742</v>
      </c>
      <c r="CC59" s="370">
        <f t="shared" si="1456"/>
        <v>44773</v>
      </c>
      <c r="CD59" s="370">
        <f t="shared" ref="CD59" si="1457">EOMONTH(CC59,1)</f>
        <v>44804</v>
      </c>
      <c r="CE59" s="370">
        <f t="shared" ref="CE59" si="1458">EOMONTH(CD59,1)</f>
        <v>44834</v>
      </c>
      <c r="CF59" s="370">
        <f t="shared" ref="CF59" si="1459">EOMONTH(CE59,1)</f>
        <v>44865</v>
      </c>
      <c r="CG59" s="370">
        <f t="shared" ref="CG59" si="1460">EOMONTH(CF59,1)</f>
        <v>44895</v>
      </c>
      <c r="CH59" s="370">
        <f t="shared" ref="CH59" si="1461">EOMONTH(CG59,1)</f>
        <v>44926</v>
      </c>
      <c r="CI59" s="370">
        <f t="shared" ref="CI59" si="1462">EOMONTH(CH59,1)</f>
        <v>44957</v>
      </c>
      <c r="CJ59" s="370">
        <f t="shared" ref="CJ59" si="1463">EOMONTH(CI59,1)</f>
        <v>44985</v>
      </c>
      <c r="CK59" s="370">
        <f t="shared" ref="CK59" si="1464">EOMONTH(CJ59,1)</f>
        <v>45016</v>
      </c>
      <c r="CL59" s="370">
        <f t="shared" ref="CL59" si="1465">EOMONTH(CK59,1)</f>
        <v>45046</v>
      </c>
      <c r="CM59" s="370">
        <f t="shared" ref="CM59" si="1466">EOMONTH(CL59,1)</f>
        <v>45077</v>
      </c>
      <c r="CN59" s="370">
        <f t="shared" ref="CN59" si="1467">EOMONTH(CM59,1)</f>
        <v>45107</v>
      </c>
      <c r="CO59" s="370">
        <f t="shared" ref="CO59" si="1468">EOMONTH(CN59,1)</f>
        <v>45138</v>
      </c>
      <c r="CP59" s="370">
        <f t="shared" ref="CP59" si="1469">EOMONTH(CO59,1)</f>
        <v>45169</v>
      </c>
      <c r="CQ59" s="370">
        <f t="shared" ref="CQ59" si="1470">EOMONTH(CP59,1)</f>
        <v>45199</v>
      </c>
      <c r="CR59" s="370">
        <f t="shared" ref="CR59" si="1471">EOMONTH(CQ59,1)</f>
        <v>45230</v>
      </c>
      <c r="CS59" s="370">
        <f t="shared" ref="CS59" si="1472">EOMONTH(CR59,1)</f>
        <v>45260</v>
      </c>
      <c r="CT59" s="370">
        <f t="shared" ref="CT59" si="1473">EOMONTH(CS59,1)</f>
        <v>45291</v>
      </c>
      <c r="CU59" s="370">
        <f t="shared" ref="CU59" si="1474">EOMONTH(CT59,1)</f>
        <v>45322</v>
      </c>
      <c r="CV59" s="370">
        <f t="shared" ref="CV59" si="1475">EOMONTH(CU59,1)</f>
        <v>45351</v>
      </c>
      <c r="CW59" s="370">
        <f t="shared" ref="CW59" si="1476">EOMONTH(CV59,1)</f>
        <v>45382</v>
      </c>
      <c r="CX59" s="370">
        <f t="shared" ref="CX59" si="1477">EOMONTH(CW59,1)</f>
        <v>45412</v>
      </c>
      <c r="CY59" s="370">
        <f t="shared" ref="CY59" si="1478">EOMONTH(CX59,1)</f>
        <v>45443</v>
      </c>
      <c r="CZ59" s="370">
        <f t="shared" ref="CZ59" si="1479">EOMONTH(CY59,1)</f>
        <v>45473</v>
      </c>
      <c r="DA59" s="370">
        <f t="shared" ref="DA59" si="1480">EOMONTH(CZ59,1)</f>
        <v>45504</v>
      </c>
      <c r="DB59" s="370">
        <f t="shared" ref="DB59" si="1481">EOMONTH(DA59,1)</f>
        <v>45535</v>
      </c>
      <c r="DC59" s="370">
        <f t="shared" ref="DC59" si="1482">EOMONTH(DB59,1)</f>
        <v>45565</v>
      </c>
      <c r="DD59" s="370">
        <f t="shared" ref="DD59" si="1483">EOMONTH(DC59,1)</f>
        <v>45596</v>
      </c>
      <c r="DE59" s="370">
        <f t="shared" ref="DE59" si="1484">EOMONTH(DD59,1)</f>
        <v>45626</v>
      </c>
      <c r="DF59" s="370">
        <f t="shared" ref="DF59" si="1485">EOMONTH(DE59,1)</f>
        <v>45657</v>
      </c>
      <c r="DG59" s="370">
        <f t="shared" ref="DG59" si="1486">EOMONTH(DF59,1)</f>
        <v>45688</v>
      </c>
      <c r="DH59" s="370">
        <f t="shared" ref="DH59" si="1487">EOMONTH(DG59,1)</f>
        <v>45716</v>
      </c>
      <c r="DI59" s="370">
        <f t="shared" ref="DI59" si="1488">EOMONTH(DH59,1)</f>
        <v>45747</v>
      </c>
      <c r="DJ59" s="370">
        <f t="shared" ref="DJ59" si="1489">EOMONTH(DI59,1)</f>
        <v>45777</v>
      </c>
      <c r="DK59" s="370">
        <f t="shared" ref="DK59" si="1490">EOMONTH(DJ59,1)</f>
        <v>45808</v>
      </c>
      <c r="DL59" s="370">
        <f t="shared" ref="DL59" si="1491">EOMONTH(DK59,1)</f>
        <v>45838</v>
      </c>
      <c r="DM59" s="370">
        <f t="shared" ref="DM59" si="1492">EOMONTH(DL59,1)</f>
        <v>45869</v>
      </c>
      <c r="DN59" s="370">
        <f t="shared" ref="DN59" si="1493">EOMONTH(DM59,1)</f>
        <v>45900</v>
      </c>
      <c r="DO59" s="370">
        <f t="shared" ref="DO59" si="1494">EOMONTH(DN59,1)</f>
        <v>45930</v>
      </c>
      <c r="DP59" s="370">
        <f t="shared" ref="DP59" si="1495">EOMONTH(DO59,1)</f>
        <v>45961</v>
      </c>
      <c r="DQ59" s="370">
        <f t="shared" ref="DQ59" si="1496">EOMONTH(DP59,1)</f>
        <v>45991</v>
      </c>
      <c r="DR59" s="370">
        <f t="shared" ref="DR59" si="1497">EOMONTH(DQ59,1)</f>
        <v>46022</v>
      </c>
      <c r="DS59" s="370">
        <f t="shared" ref="DS59" si="1498">EOMONTH(DR59,1)</f>
        <v>46053</v>
      </c>
      <c r="DT59" s="370">
        <f t="shared" ref="DT59:DU59" si="1499">EOMONTH(DS59,1)</f>
        <v>46081</v>
      </c>
      <c r="DU59" s="370">
        <f t="shared" si="1499"/>
        <v>46112</v>
      </c>
    </row>
    <row r="60" spans="2:125">
      <c r="B60" s="372" t="s">
        <v>215</v>
      </c>
      <c r="C60" s="88"/>
      <c r="D60" s="88"/>
      <c r="E60" s="88"/>
      <c r="F60" s="88"/>
      <c r="G60" s="88"/>
      <c r="H60" s="88"/>
      <c r="I60" s="88"/>
      <c r="J60" s="88"/>
      <c r="K60" s="88"/>
      <c r="L60" s="88"/>
      <c r="M60" s="88"/>
      <c r="N60" s="88"/>
      <c r="O60" s="124">
        <v>0</v>
      </c>
      <c r="P60" s="124">
        <v>0</v>
      </c>
      <c r="Q60" s="125">
        <v>0</v>
      </c>
      <c r="R60" s="124">
        <v>0</v>
      </c>
      <c r="S60" s="124">
        <v>0</v>
      </c>
      <c r="T60" s="124">
        <v>0</v>
      </c>
      <c r="U60" s="124">
        <v>0</v>
      </c>
      <c r="V60" s="124">
        <v>0</v>
      </c>
      <c r="W60" s="124">
        <v>0</v>
      </c>
      <c r="X60" s="124">
        <v>0</v>
      </c>
      <c r="Y60" s="124">
        <v>0</v>
      </c>
      <c r="Z60" s="124">
        <v>0</v>
      </c>
      <c r="AA60" s="124">
        <v>0</v>
      </c>
      <c r="AB60" s="124">
        <v>0</v>
      </c>
      <c r="AC60" s="124">
        <v>0</v>
      </c>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124"/>
      <c r="CC60" s="124"/>
      <c r="CD60" s="124"/>
      <c r="CE60" s="124"/>
      <c r="CF60" s="124"/>
      <c r="CG60" s="124"/>
      <c r="CH60" s="124"/>
      <c r="CI60" s="124"/>
      <c r="CJ60" s="124"/>
      <c r="CK60" s="124"/>
      <c r="CL60" s="124"/>
      <c r="CM60" s="124"/>
      <c r="CN60" s="124"/>
      <c r="CO60" s="124"/>
      <c r="CP60" s="124"/>
      <c r="CQ60" s="124"/>
      <c r="CR60" s="124"/>
      <c r="CS60" s="124"/>
      <c r="CT60" s="124"/>
      <c r="CU60" s="124"/>
      <c r="CV60" s="124"/>
      <c r="CW60" s="124"/>
      <c r="CX60" s="124"/>
      <c r="CY60" s="124"/>
      <c r="CZ60" s="124"/>
      <c r="DA60" s="124"/>
      <c r="DB60" s="124"/>
      <c r="DC60" s="124"/>
      <c r="DD60" s="124"/>
      <c r="DE60" s="124"/>
      <c r="DF60" s="124"/>
      <c r="DG60" s="124"/>
      <c r="DH60" s="124"/>
      <c r="DI60" s="124"/>
      <c r="DJ60" s="124"/>
      <c r="DK60" s="124"/>
      <c r="DL60" s="124"/>
      <c r="DM60" s="124"/>
      <c r="DN60" s="124"/>
      <c r="DO60" s="124"/>
      <c r="DP60" s="124"/>
      <c r="DQ60" s="124"/>
      <c r="DR60" s="124"/>
      <c r="DS60" s="124"/>
      <c r="DT60" s="124"/>
      <c r="DU60" s="124"/>
    </row>
    <row r="61" spans="2:125">
      <c r="B61" s="372" t="s">
        <v>21</v>
      </c>
      <c r="C61" s="88">
        <f>SUM($C$60:C60)</f>
        <v>0</v>
      </c>
      <c r="D61" s="88">
        <f>SUM($C$60:D60)</f>
        <v>0</v>
      </c>
      <c r="E61" s="88">
        <f>SUM($C$60:E60)</f>
        <v>0</v>
      </c>
      <c r="F61" s="88">
        <f>SUM($C$60:F60)</f>
        <v>0</v>
      </c>
      <c r="G61" s="88">
        <f>SUM($C$60:G60)</f>
        <v>0</v>
      </c>
      <c r="H61" s="88">
        <f>SUM($C$60:H60)</f>
        <v>0</v>
      </c>
      <c r="I61" s="88">
        <f>SUM($C$60:I60)</f>
        <v>0</v>
      </c>
      <c r="J61" s="88">
        <f>SUM($C$60:J60)</f>
        <v>0</v>
      </c>
      <c r="K61" s="88">
        <f>SUM($C$60:K60)</f>
        <v>0</v>
      </c>
      <c r="L61" s="88">
        <f>SUM($C$60:L60)</f>
        <v>0</v>
      </c>
      <c r="M61" s="88">
        <f>SUM($C$60:M60)</f>
        <v>0</v>
      </c>
      <c r="N61" s="88">
        <f>SUM($C$60:N60)</f>
        <v>0</v>
      </c>
      <c r="O61" s="88">
        <f>SUM($C$60:O60)</f>
        <v>0</v>
      </c>
      <c r="P61" s="88">
        <f>SUM($C$60:P60)</f>
        <v>0</v>
      </c>
      <c r="Q61" s="88">
        <f>SUM($C$60:Q60)</f>
        <v>0</v>
      </c>
      <c r="R61" s="88">
        <f>SUM($C$60:R60)</f>
        <v>0</v>
      </c>
      <c r="S61" s="88">
        <f>SUM($C$60:S60)</f>
        <v>0</v>
      </c>
      <c r="T61" s="88">
        <f>SUM($C$60:T60)</f>
        <v>0</v>
      </c>
      <c r="U61" s="88">
        <f>SUM($C$60:U60)</f>
        <v>0</v>
      </c>
      <c r="V61" s="88">
        <f>SUM($C$60:V60)</f>
        <v>0</v>
      </c>
      <c r="W61" s="88">
        <f>SUM($C$60:W60)</f>
        <v>0</v>
      </c>
      <c r="X61" s="88">
        <f>SUM($C$60:X60)</f>
        <v>0</v>
      </c>
      <c r="Y61" s="88">
        <f>SUM($C$60:Y60)</f>
        <v>0</v>
      </c>
      <c r="Z61" s="88">
        <f>SUM($C$60:Z60)</f>
        <v>0</v>
      </c>
      <c r="AA61" s="88">
        <f>SUM($C$60:AA60)</f>
        <v>0</v>
      </c>
      <c r="AB61" s="88">
        <f>SUM($C$60:AB60)</f>
        <v>0</v>
      </c>
      <c r="AC61" s="88">
        <f>SUM($C$60:AC60)</f>
        <v>0</v>
      </c>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row>
    <row r="64" spans="2:125">
      <c r="C64" s="370">
        <v>42400</v>
      </c>
      <c r="D64" s="370">
        <f t="shared" ref="D64:N64" si="1500">EOMONTH(C64,1)</f>
        <v>42429</v>
      </c>
      <c r="E64" s="370">
        <f t="shared" si="1500"/>
        <v>42460</v>
      </c>
      <c r="F64" s="370">
        <f t="shared" si="1500"/>
        <v>42490</v>
      </c>
      <c r="G64" s="370">
        <f t="shared" si="1500"/>
        <v>42521</v>
      </c>
      <c r="H64" s="370">
        <f t="shared" si="1500"/>
        <v>42551</v>
      </c>
      <c r="I64" s="370">
        <f t="shared" si="1500"/>
        <v>42582</v>
      </c>
      <c r="J64" s="370">
        <f t="shared" si="1500"/>
        <v>42613</v>
      </c>
      <c r="K64" s="370">
        <f t="shared" si="1500"/>
        <v>42643</v>
      </c>
      <c r="L64" s="370">
        <f t="shared" si="1500"/>
        <v>42674</v>
      </c>
      <c r="M64" s="370">
        <f t="shared" si="1500"/>
        <v>42704</v>
      </c>
      <c r="N64" s="370">
        <f t="shared" si="1500"/>
        <v>42735</v>
      </c>
      <c r="O64" s="370">
        <f>O59</f>
        <v>42766</v>
      </c>
      <c r="P64" s="370">
        <f t="shared" ref="P64:AE64" si="1501">EOMONTH(O64,1)</f>
        <v>42794</v>
      </c>
      <c r="Q64" s="370">
        <f t="shared" si="1501"/>
        <v>42825</v>
      </c>
      <c r="R64" s="370">
        <f t="shared" si="1501"/>
        <v>42855</v>
      </c>
      <c r="S64" s="370">
        <f t="shared" si="1501"/>
        <v>42886</v>
      </c>
      <c r="T64" s="370">
        <f t="shared" si="1501"/>
        <v>42916</v>
      </c>
      <c r="U64" s="370">
        <f t="shared" si="1501"/>
        <v>42947</v>
      </c>
      <c r="V64" s="370">
        <f t="shared" si="1501"/>
        <v>42978</v>
      </c>
      <c r="W64" s="370">
        <f t="shared" si="1501"/>
        <v>43008</v>
      </c>
      <c r="X64" s="370">
        <f t="shared" si="1501"/>
        <v>43039</v>
      </c>
      <c r="Y64" s="370">
        <f t="shared" si="1501"/>
        <v>43069</v>
      </c>
      <c r="Z64" s="370">
        <f t="shared" si="1501"/>
        <v>43100</v>
      </c>
      <c r="AA64" s="370">
        <f t="shared" si="1501"/>
        <v>43131</v>
      </c>
      <c r="AB64" s="370">
        <f t="shared" si="1501"/>
        <v>43159</v>
      </c>
      <c r="AC64" s="370">
        <f t="shared" si="1501"/>
        <v>43190</v>
      </c>
      <c r="AD64" s="370">
        <f t="shared" si="1501"/>
        <v>43220</v>
      </c>
      <c r="AE64" s="370">
        <f t="shared" si="1501"/>
        <v>43251</v>
      </c>
      <c r="AF64" s="370">
        <f t="shared" ref="AF64" si="1502">EOMONTH(AE64,1)</f>
        <v>43281</v>
      </c>
      <c r="AG64" s="370">
        <f t="shared" ref="AG64" si="1503">EOMONTH(AF64,1)</f>
        <v>43312</v>
      </c>
      <c r="AH64" s="370">
        <f t="shared" ref="AH64" si="1504">EOMONTH(AG64,1)</f>
        <v>43343</v>
      </c>
      <c r="AI64" s="370">
        <f t="shared" ref="AI64" si="1505">EOMONTH(AH64,1)</f>
        <v>43373</v>
      </c>
      <c r="AJ64" s="370">
        <f t="shared" ref="AJ64" si="1506">EOMONTH(AI64,1)</f>
        <v>43404</v>
      </c>
      <c r="AK64" s="370">
        <f t="shared" ref="AK64" si="1507">EOMONTH(AJ64,1)</f>
        <v>43434</v>
      </c>
      <c r="AL64" s="370">
        <f t="shared" ref="AL64" si="1508">EOMONTH(AK64,1)</f>
        <v>43465</v>
      </c>
      <c r="AM64" s="370">
        <f t="shared" ref="AM64" si="1509">EOMONTH(AL64,1)</f>
        <v>43496</v>
      </c>
      <c r="AN64" s="370">
        <f t="shared" ref="AN64" si="1510">EOMONTH(AM64,1)</f>
        <v>43524</v>
      </c>
      <c r="AO64" s="370">
        <f t="shared" ref="AO64" si="1511">EOMONTH(AN64,1)</f>
        <v>43555</v>
      </c>
      <c r="AP64" s="370">
        <f t="shared" ref="AP64" si="1512">EOMONTH(AO64,1)</f>
        <v>43585</v>
      </c>
      <c r="AQ64" s="370">
        <f t="shared" ref="AQ64" si="1513">EOMONTH(AP64,1)</f>
        <v>43616</v>
      </c>
      <c r="AR64" s="370">
        <f t="shared" ref="AR64" si="1514">EOMONTH(AQ64,1)</f>
        <v>43646</v>
      </c>
      <c r="AS64" s="370">
        <f t="shared" ref="AS64" si="1515">EOMONTH(AR64,1)</f>
        <v>43677</v>
      </c>
      <c r="AT64" s="370">
        <f t="shared" ref="AT64" si="1516">EOMONTH(AS64,1)</f>
        <v>43708</v>
      </c>
      <c r="AU64" s="370">
        <f t="shared" ref="AU64" si="1517">EOMONTH(AT64,1)</f>
        <v>43738</v>
      </c>
      <c r="AV64" s="370">
        <f t="shared" ref="AV64" si="1518">EOMONTH(AU64,1)</f>
        <v>43769</v>
      </c>
      <c r="AW64" s="370">
        <f t="shared" ref="AW64" si="1519">EOMONTH(AV64,1)</f>
        <v>43799</v>
      </c>
      <c r="AX64" s="370">
        <f t="shared" ref="AX64" si="1520">EOMONTH(AW64,1)</f>
        <v>43830</v>
      </c>
      <c r="AY64" s="370">
        <f t="shared" ref="AY64" si="1521">EOMONTH(AX64,1)</f>
        <v>43861</v>
      </c>
      <c r="AZ64" s="370">
        <f t="shared" ref="AZ64" si="1522">EOMONTH(AY64,1)</f>
        <v>43890</v>
      </c>
      <c r="BA64" s="370">
        <f t="shared" ref="BA64" si="1523">EOMONTH(AZ64,1)</f>
        <v>43921</v>
      </c>
      <c r="BB64" s="370">
        <f t="shared" ref="BB64" si="1524">EOMONTH(BA64,1)</f>
        <v>43951</v>
      </c>
      <c r="BC64" s="370">
        <f t="shared" ref="BC64" si="1525">EOMONTH(BB64,1)</f>
        <v>43982</v>
      </c>
      <c r="BD64" s="370">
        <f t="shared" ref="BD64" si="1526">EOMONTH(BC64,1)</f>
        <v>44012</v>
      </c>
      <c r="BE64" s="370">
        <f t="shared" ref="BE64" si="1527">EOMONTH(BD64,1)</f>
        <v>44043</v>
      </c>
      <c r="BF64" s="370">
        <f t="shared" ref="BF64" si="1528">EOMONTH(BE64,1)</f>
        <v>44074</v>
      </c>
      <c r="BG64" s="370">
        <f t="shared" ref="BG64" si="1529">EOMONTH(BF64,1)</f>
        <v>44104</v>
      </c>
      <c r="BH64" s="370">
        <f t="shared" ref="BH64" si="1530">EOMONTH(BG64,1)</f>
        <v>44135</v>
      </c>
      <c r="BI64" s="370">
        <f t="shared" ref="BI64" si="1531">EOMONTH(BH64,1)</f>
        <v>44165</v>
      </c>
      <c r="BJ64" s="370">
        <f t="shared" ref="BJ64" si="1532">EOMONTH(BI64,1)</f>
        <v>44196</v>
      </c>
      <c r="BK64" s="370">
        <f t="shared" ref="BK64" si="1533">EOMONTH(BJ64,1)</f>
        <v>44227</v>
      </c>
      <c r="BL64" s="370">
        <f t="shared" ref="BL64" si="1534">EOMONTH(BK64,1)</f>
        <v>44255</v>
      </c>
      <c r="BM64" s="370">
        <f t="shared" ref="BM64" si="1535">EOMONTH(BL64,1)</f>
        <v>44286</v>
      </c>
      <c r="BN64" s="370">
        <f t="shared" ref="BN64" si="1536">EOMONTH(BM64,1)</f>
        <v>44316</v>
      </c>
      <c r="BO64" s="370">
        <f t="shared" ref="BO64" si="1537">EOMONTH(BN64,1)</f>
        <v>44347</v>
      </c>
      <c r="BP64" s="370">
        <f t="shared" ref="BP64" si="1538">EOMONTH(BO64,1)</f>
        <v>44377</v>
      </c>
      <c r="BQ64" s="370">
        <f t="shared" ref="BQ64" si="1539">EOMONTH(BP64,1)</f>
        <v>44408</v>
      </c>
      <c r="BR64" s="370">
        <f t="shared" ref="BR64" si="1540">EOMONTH(BQ64,1)</f>
        <v>44439</v>
      </c>
      <c r="BS64" s="370">
        <f t="shared" ref="BS64" si="1541">EOMONTH(BR64,1)</f>
        <v>44469</v>
      </c>
      <c r="BT64" s="370">
        <f t="shared" ref="BT64" si="1542">EOMONTH(BS64,1)</f>
        <v>44500</v>
      </c>
      <c r="BU64" s="370">
        <f>EOMONTH(BT64,1)</f>
        <v>44530</v>
      </c>
      <c r="BV64" s="370">
        <f t="shared" ref="BV64:BW64" si="1543">EOMONTH(BU64,1)</f>
        <v>44561</v>
      </c>
      <c r="BW64" s="370">
        <f t="shared" si="1543"/>
        <v>44592</v>
      </c>
      <c r="BX64" s="370">
        <f t="shared" ref="BX64:BY64" si="1544">EOMONTH(BW64,1)</f>
        <v>44620</v>
      </c>
      <c r="BY64" s="370">
        <f t="shared" si="1544"/>
        <v>44651</v>
      </c>
      <c r="BZ64" s="370">
        <f t="shared" ref="BZ64:CA64" si="1545">EOMONTH(BY64,1)</f>
        <v>44681</v>
      </c>
      <c r="CA64" s="370">
        <f t="shared" si="1545"/>
        <v>44712</v>
      </c>
      <c r="CB64" s="370">
        <f t="shared" ref="CB64:CC64" si="1546">EOMONTH(CA64,1)</f>
        <v>44742</v>
      </c>
      <c r="CC64" s="370">
        <f t="shared" si="1546"/>
        <v>44773</v>
      </c>
      <c r="CD64" s="370">
        <f t="shared" ref="CD64" si="1547">EOMONTH(CC64,1)</f>
        <v>44804</v>
      </c>
      <c r="CE64" s="370">
        <f t="shared" ref="CE64" si="1548">EOMONTH(CD64,1)</f>
        <v>44834</v>
      </c>
      <c r="CF64" s="370">
        <f t="shared" ref="CF64" si="1549">EOMONTH(CE64,1)</f>
        <v>44865</v>
      </c>
      <c r="CG64" s="370">
        <f t="shared" ref="CG64" si="1550">EOMONTH(CF64,1)</f>
        <v>44895</v>
      </c>
      <c r="CH64" s="370">
        <f t="shared" ref="CH64" si="1551">EOMONTH(CG64,1)</f>
        <v>44926</v>
      </c>
      <c r="CI64" s="370">
        <f t="shared" ref="CI64" si="1552">EOMONTH(CH64,1)</f>
        <v>44957</v>
      </c>
      <c r="CJ64" s="370">
        <f t="shared" ref="CJ64" si="1553">EOMONTH(CI64,1)</f>
        <v>44985</v>
      </c>
      <c r="CK64" s="370">
        <f t="shared" ref="CK64" si="1554">EOMONTH(CJ64,1)</f>
        <v>45016</v>
      </c>
      <c r="CL64" s="370">
        <f t="shared" ref="CL64" si="1555">EOMONTH(CK64,1)</f>
        <v>45046</v>
      </c>
      <c r="CM64" s="370">
        <f t="shared" ref="CM64" si="1556">EOMONTH(CL64,1)</f>
        <v>45077</v>
      </c>
      <c r="CN64" s="370">
        <f t="shared" ref="CN64" si="1557">EOMONTH(CM64,1)</f>
        <v>45107</v>
      </c>
      <c r="CO64" s="370">
        <f t="shared" ref="CO64" si="1558">EOMONTH(CN64,1)</f>
        <v>45138</v>
      </c>
      <c r="CP64" s="370">
        <f t="shared" ref="CP64" si="1559">EOMONTH(CO64,1)</f>
        <v>45169</v>
      </c>
      <c r="CQ64" s="370">
        <f t="shared" ref="CQ64" si="1560">EOMONTH(CP64,1)</f>
        <v>45199</v>
      </c>
      <c r="CR64" s="370">
        <f t="shared" ref="CR64" si="1561">EOMONTH(CQ64,1)</f>
        <v>45230</v>
      </c>
      <c r="CS64" s="370">
        <f t="shared" ref="CS64" si="1562">EOMONTH(CR64,1)</f>
        <v>45260</v>
      </c>
      <c r="CT64" s="370">
        <f t="shared" ref="CT64" si="1563">EOMONTH(CS64,1)</f>
        <v>45291</v>
      </c>
      <c r="CU64" s="370">
        <f t="shared" ref="CU64" si="1564">EOMONTH(CT64,1)</f>
        <v>45322</v>
      </c>
      <c r="CV64" s="370">
        <f t="shared" ref="CV64" si="1565">EOMONTH(CU64,1)</f>
        <v>45351</v>
      </c>
      <c r="CW64" s="370">
        <f t="shared" ref="CW64" si="1566">EOMONTH(CV64,1)</f>
        <v>45382</v>
      </c>
      <c r="CX64" s="370">
        <f t="shared" ref="CX64" si="1567">EOMONTH(CW64,1)</f>
        <v>45412</v>
      </c>
      <c r="CY64" s="370">
        <f t="shared" ref="CY64" si="1568">EOMONTH(CX64,1)</f>
        <v>45443</v>
      </c>
      <c r="CZ64" s="370">
        <f t="shared" ref="CZ64" si="1569">EOMONTH(CY64,1)</f>
        <v>45473</v>
      </c>
      <c r="DA64" s="370">
        <f t="shared" ref="DA64" si="1570">EOMONTH(CZ64,1)</f>
        <v>45504</v>
      </c>
      <c r="DB64" s="370">
        <f t="shared" ref="DB64" si="1571">EOMONTH(DA64,1)</f>
        <v>45535</v>
      </c>
      <c r="DC64" s="370">
        <f t="shared" ref="DC64" si="1572">EOMONTH(DB64,1)</f>
        <v>45565</v>
      </c>
      <c r="DD64" s="370">
        <f t="shared" ref="DD64" si="1573">EOMONTH(DC64,1)</f>
        <v>45596</v>
      </c>
      <c r="DE64" s="370">
        <f t="shared" ref="DE64" si="1574">EOMONTH(DD64,1)</f>
        <v>45626</v>
      </c>
      <c r="DF64" s="370">
        <f t="shared" ref="DF64" si="1575">EOMONTH(DE64,1)</f>
        <v>45657</v>
      </c>
      <c r="DG64" s="370">
        <f t="shared" ref="DG64" si="1576">EOMONTH(DF64,1)</f>
        <v>45688</v>
      </c>
      <c r="DH64" s="370">
        <f t="shared" ref="DH64" si="1577">EOMONTH(DG64,1)</f>
        <v>45716</v>
      </c>
      <c r="DI64" s="370">
        <f t="shared" ref="DI64" si="1578">EOMONTH(DH64,1)</f>
        <v>45747</v>
      </c>
      <c r="DJ64" s="370">
        <f t="shared" ref="DJ64" si="1579">EOMONTH(DI64,1)</f>
        <v>45777</v>
      </c>
      <c r="DK64" s="370">
        <f t="shared" ref="DK64" si="1580">EOMONTH(DJ64,1)</f>
        <v>45808</v>
      </c>
      <c r="DL64" s="370">
        <f t="shared" ref="DL64" si="1581">EOMONTH(DK64,1)</f>
        <v>45838</v>
      </c>
      <c r="DM64" s="370">
        <f t="shared" ref="DM64" si="1582">EOMONTH(DL64,1)</f>
        <v>45869</v>
      </c>
      <c r="DN64" s="370">
        <f t="shared" ref="DN64" si="1583">EOMONTH(DM64,1)</f>
        <v>45900</v>
      </c>
      <c r="DO64" s="370">
        <f t="shared" ref="DO64" si="1584">EOMONTH(DN64,1)</f>
        <v>45930</v>
      </c>
      <c r="DP64" s="370">
        <f t="shared" ref="DP64" si="1585">EOMONTH(DO64,1)</f>
        <v>45961</v>
      </c>
      <c r="DQ64" s="370">
        <f t="shared" ref="DQ64" si="1586">EOMONTH(DP64,1)</f>
        <v>45991</v>
      </c>
      <c r="DR64" s="370">
        <f t="shared" ref="DR64" si="1587">EOMONTH(DQ64,1)</f>
        <v>46022</v>
      </c>
      <c r="DS64" s="370">
        <f t="shared" ref="DS64" si="1588">EOMONTH(DR64,1)</f>
        <v>46053</v>
      </c>
      <c r="DT64" s="370">
        <f t="shared" ref="DT64:DU64" si="1589">EOMONTH(DS64,1)</f>
        <v>46081</v>
      </c>
      <c r="DU64" s="370">
        <f t="shared" si="1589"/>
        <v>46112</v>
      </c>
    </row>
    <row r="65" spans="2:81">
      <c r="B65" s="110" t="s">
        <v>208</v>
      </c>
      <c r="N65" s="132">
        <v>0</v>
      </c>
      <c r="O65" s="133">
        <f t="shared" ref="O65:AC65" si="1590">N65-O53</f>
        <v>0</v>
      </c>
      <c r="P65" s="133">
        <f t="shared" si="1590"/>
        <v>0</v>
      </c>
      <c r="Q65" s="133">
        <f t="shared" si="1590"/>
        <v>0</v>
      </c>
      <c r="R65" s="133">
        <f t="shared" si="1590"/>
        <v>0</v>
      </c>
      <c r="S65" s="133">
        <f t="shared" si="1590"/>
        <v>0</v>
      </c>
      <c r="T65" s="133">
        <f t="shared" si="1590"/>
        <v>0</v>
      </c>
      <c r="U65" s="133">
        <f t="shared" si="1590"/>
        <v>0</v>
      </c>
      <c r="V65" s="133">
        <f t="shared" si="1590"/>
        <v>0</v>
      </c>
      <c r="W65" s="133">
        <f t="shared" si="1590"/>
        <v>0</v>
      </c>
      <c r="X65" s="133">
        <f t="shared" si="1590"/>
        <v>0</v>
      </c>
      <c r="Y65" s="133">
        <f t="shared" si="1590"/>
        <v>0</v>
      </c>
      <c r="Z65" s="133">
        <f t="shared" si="1590"/>
        <v>0</v>
      </c>
      <c r="AA65" s="133">
        <f t="shared" si="1590"/>
        <v>0</v>
      </c>
      <c r="AB65" s="133">
        <f t="shared" si="1590"/>
        <v>0</v>
      </c>
      <c r="AC65" s="133">
        <f t="shared" si="1590"/>
        <v>0</v>
      </c>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row>
    <row r="66" spans="2:81">
      <c r="B66" s="134" t="s">
        <v>209</v>
      </c>
      <c r="C66" s="135" t="str">
        <f t="shared" ref="C66:AC66" si="1591">IF(C53&lt;=0,"-",C65/C53)</f>
        <v>-</v>
      </c>
      <c r="D66" s="135" t="str">
        <f t="shared" si="1591"/>
        <v>-</v>
      </c>
      <c r="E66" s="135" t="str">
        <f t="shared" si="1591"/>
        <v>-</v>
      </c>
      <c r="F66" s="135" t="str">
        <f t="shared" si="1591"/>
        <v>-</v>
      </c>
      <c r="G66" s="135" t="str">
        <f t="shared" si="1591"/>
        <v>-</v>
      </c>
      <c r="H66" s="135" t="str">
        <f t="shared" si="1591"/>
        <v>-</v>
      </c>
      <c r="I66" s="135" t="str">
        <f t="shared" si="1591"/>
        <v>-</v>
      </c>
      <c r="J66" s="135" t="str">
        <f t="shared" si="1591"/>
        <v>-</v>
      </c>
      <c r="K66" s="135" t="str">
        <f t="shared" si="1591"/>
        <v>-</v>
      </c>
      <c r="L66" s="135" t="str">
        <f t="shared" si="1591"/>
        <v>-</v>
      </c>
      <c r="M66" s="135" t="str">
        <f t="shared" si="1591"/>
        <v>-</v>
      </c>
      <c r="N66" s="135" t="str">
        <f t="shared" si="1591"/>
        <v>-</v>
      </c>
      <c r="O66" s="135" t="str">
        <f t="shared" si="1591"/>
        <v>-</v>
      </c>
      <c r="P66" s="135" t="str">
        <f t="shared" si="1591"/>
        <v>-</v>
      </c>
      <c r="Q66" s="135" t="str">
        <f t="shared" si="1591"/>
        <v>-</v>
      </c>
      <c r="R66" s="135" t="str">
        <f t="shared" si="1591"/>
        <v>-</v>
      </c>
      <c r="S66" s="135" t="str">
        <f t="shared" si="1591"/>
        <v>-</v>
      </c>
      <c r="T66" s="135" t="str">
        <f t="shared" si="1591"/>
        <v>-</v>
      </c>
      <c r="U66" s="135" t="str">
        <f t="shared" si="1591"/>
        <v>-</v>
      </c>
      <c r="V66" s="135" t="str">
        <f t="shared" si="1591"/>
        <v>-</v>
      </c>
      <c r="W66" s="135" t="str">
        <f t="shared" si="1591"/>
        <v>-</v>
      </c>
      <c r="X66" s="135" t="str">
        <f t="shared" si="1591"/>
        <v>-</v>
      </c>
      <c r="Y66" s="135" t="str">
        <f t="shared" si="1591"/>
        <v>-</v>
      </c>
      <c r="Z66" s="135" t="str">
        <f t="shared" si="1591"/>
        <v>-</v>
      </c>
      <c r="AA66" s="135" t="str">
        <f t="shared" si="1591"/>
        <v>-</v>
      </c>
      <c r="AB66" s="135" t="str">
        <f t="shared" si="1591"/>
        <v>-</v>
      </c>
      <c r="AC66" s="135" t="str">
        <f t="shared" si="1591"/>
        <v>-</v>
      </c>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5"/>
      <c r="BG66" s="135"/>
      <c r="BH66" s="135"/>
      <c r="BI66" s="135"/>
      <c r="BJ66" s="135"/>
      <c r="BK66" s="135"/>
      <c r="BL66" s="135"/>
      <c r="BM66" s="135"/>
      <c r="BN66" s="135"/>
      <c r="BO66" s="135"/>
      <c r="BP66" s="135"/>
      <c r="BQ66" s="135"/>
      <c r="BR66" s="135"/>
      <c r="BS66" s="135"/>
      <c r="BT66" s="135"/>
    </row>
    <row r="67" spans="2:81">
      <c r="B67" s="1"/>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row>
    <row r="68" spans="2:81">
      <c r="B68" s="134"/>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row>
    <row r="72" spans="2:81">
      <c r="CC72" s="597"/>
    </row>
    <row r="73" spans="2:81">
      <c r="CC73" s="597"/>
    </row>
    <row r="74" spans="2:81">
      <c r="CC74" s="598"/>
    </row>
    <row r="75" spans="2:81">
      <c r="CC75" s="598"/>
    </row>
    <row r="76" spans="2:81">
      <c r="CC76" s="598"/>
    </row>
    <row r="77" spans="2:81">
      <c r="CC77" s="598"/>
    </row>
    <row r="78" spans="2:81">
      <c r="CC78" s="598"/>
    </row>
  </sheetData>
  <pageMargins left="0.7" right="0.7" top="0.75" bottom="0.75" header="0.3" footer="0.3"/>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2060"/>
    <pageSetUpPr fitToPage="1"/>
  </sheetPr>
  <dimension ref="A2:AS71"/>
  <sheetViews>
    <sheetView showGridLines="0" topLeftCell="B13" zoomScaleNormal="100" workbookViewId="0">
      <pane xSplit="1" topLeftCell="Z1" activePane="topRight" state="frozen"/>
      <selection activeCell="B1" sqref="B1"/>
      <selection pane="topRight" activeCell="AQ28" sqref="AQ28"/>
    </sheetView>
  </sheetViews>
  <sheetFormatPr defaultColWidth="9.1796875" defaultRowHeight="14" outlineLevelRow="1"/>
  <cols>
    <col min="1" max="1" width="9.1796875" style="108" hidden="1" customWidth="1"/>
    <col min="2" max="2" width="23.1796875" style="108" customWidth="1"/>
    <col min="3" max="25" width="12.54296875" style="108" hidden="1" customWidth="1"/>
    <col min="26" max="45" width="12.54296875" style="108" customWidth="1"/>
    <col min="46" max="16384" width="9.1796875" style="108"/>
  </cols>
  <sheetData>
    <row r="2" spans="2:45">
      <c r="B2" s="153" t="s">
        <v>216</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row>
    <row r="3" spans="2:45" outlineLevel="1">
      <c r="B3" s="245" t="s">
        <v>217</v>
      </c>
      <c r="C3" s="245">
        <f>YEAR(C4)</f>
        <v>2016</v>
      </c>
      <c r="D3" s="245">
        <f t="shared" ref="D3:AS3" si="0">YEAR(D4)</f>
        <v>2016</v>
      </c>
      <c r="E3" s="245">
        <f t="shared" si="0"/>
        <v>2016</v>
      </c>
      <c r="F3" s="245">
        <f t="shared" si="0"/>
        <v>2016</v>
      </c>
      <c r="G3" s="245">
        <f t="shared" si="0"/>
        <v>2017</v>
      </c>
      <c r="H3" s="245">
        <f t="shared" si="0"/>
        <v>2017</v>
      </c>
      <c r="I3" s="245">
        <f t="shared" si="0"/>
        <v>2017</v>
      </c>
      <c r="J3" s="245">
        <f t="shared" si="0"/>
        <v>2017</v>
      </c>
      <c r="K3" s="245">
        <f t="shared" si="0"/>
        <v>2018</v>
      </c>
      <c r="L3" s="245">
        <f t="shared" si="0"/>
        <v>2018</v>
      </c>
      <c r="M3" s="245">
        <f t="shared" si="0"/>
        <v>2018</v>
      </c>
      <c r="N3" s="245">
        <f t="shared" si="0"/>
        <v>2018</v>
      </c>
      <c r="O3" s="245">
        <f t="shared" si="0"/>
        <v>2019</v>
      </c>
      <c r="P3" s="245">
        <f t="shared" si="0"/>
        <v>2019</v>
      </c>
      <c r="Q3" s="245">
        <f t="shared" si="0"/>
        <v>2019</v>
      </c>
      <c r="R3" s="245">
        <f t="shared" si="0"/>
        <v>2019</v>
      </c>
      <c r="S3" s="245">
        <f t="shared" si="0"/>
        <v>2020</v>
      </c>
      <c r="T3" s="245">
        <f t="shared" si="0"/>
        <v>2020</v>
      </c>
      <c r="U3" s="245">
        <f t="shared" si="0"/>
        <v>2020</v>
      </c>
      <c r="V3" s="245">
        <f t="shared" si="0"/>
        <v>2020</v>
      </c>
      <c r="W3" s="245">
        <f t="shared" si="0"/>
        <v>2021</v>
      </c>
      <c r="X3" s="245">
        <f t="shared" si="0"/>
        <v>2021</v>
      </c>
      <c r="Y3" s="245">
        <f t="shared" si="0"/>
        <v>2021</v>
      </c>
      <c r="Z3" s="245">
        <f t="shared" si="0"/>
        <v>2021</v>
      </c>
      <c r="AA3" s="245">
        <f t="shared" si="0"/>
        <v>2022</v>
      </c>
      <c r="AB3" s="245">
        <f t="shared" si="0"/>
        <v>2022</v>
      </c>
      <c r="AC3" s="245">
        <f t="shared" si="0"/>
        <v>2022</v>
      </c>
      <c r="AD3" s="245">
        <f t="shared" si="0"/>
        <v>2022</v>
      </c>
      <c r="AE3" s="245">
        <f t="shared" si="0"/>
        <v>2023</v>
      </c>
      <c r="AF3" s="245">
        <f t="shared" si="0"/>
        <v>2023</v>
      </c>
      <c r="AG3" s="245">
        <f t="shared" si="0"/>
        <v>2023</v>
      </c>
      <c r="AH3" s="245">
        <f t="shared" si="0"/>
        <v>2023</v>
      </c>
      <c r="AI3" s="245">
        <f t="shared" si="0"/>
        <v>2024</v>
      </c>
      <c r="AJ3" s="245">
        <f t="shared" si="0"/>
        <v>2024</v>
      </c>
      <c r="AK3" s="245">
        <f t="shared" si="0"/>
        <v>2024</v>
      </c>
      <c r="AL3" s="245">
        <f t="shared" si="0"/>
        <v>2024</v>
      </c>
      <c r="AM3" s="245">
        <f t="shared" si="0"/>
        <v>2025</v>
      </c>
      <c r="AN3" s="245">
        <f t="shared" si="0"/>
        <v>2025</v>
      </c>
      <c r="AO3" s="245">
        <f t="shared" si="0"/>
        <v>2025</v>
      </c>
      <c r="AP3" s="245">
        <f t="shared" si="0"/>
        <v>2025</v>
      </c>
      <c r="AQ3" s="245">
        <f t="shared" si="0"/>
        <v>2026</v>
      </c>
      <c r="AR3" s="245">
        <f t="shared" si="0"/>
        <v>2026</v>
      </c>
      <c r="AS3" s="245">
        <f t="shared" si="0"/>
        <v>2026</v>
      </c>
    </row>
    <row r="4" spans="2:45">
      <c r="B4" s="155" t="s">
        <v>218</v>
      </c>
      <c r="C4" s="531">
        <v>42460</v>
      </c>
      <c r="D4" s="395">
        <f>EOMONTH(C4,3)</f>
        <v>42551</v>
      </c>
      <c r="E4" s="395">
        <f t="shared" ref="E4:K4" si="1">EOMONTH(D4,3)</f>
        <v>42643</v>
      </c>
      <c r="F4" s="395">
        <f t="shared" si="1"/>
        <v>42735</v>
      </c>
      <c r="G4" s="395">
        <f t="shared" si="1"/>
        <v>42825</v>
      </c>
      <c r="H4" s="395">
        <f t="shared" si="1"/>
        <v>42916</v>
      </c>
      <c r="I4" s="395">
        <f t="shared" si="1"/>
        <v>43008</v>
      </c>
      <c r="J4" s="395">
        <f t="shared" si="1"/>
        <v>43100</v>
      </c>
      <c r="K4" s="395">
        <f t="shared" si="1"/>
        <v>43190</v>
      </c>
      <c r="L4" s="395">
        <f t="shared" ref="L4:N4" si="2">EOMONTH(K4,3)</f>
        <v>43281</v>
      </c>
      <c r="M4" s="395">
        <f t="shared" si="2"/>
        <v>43373</v>
      </c>
      <c r="N4" s="395">
        <f t="shared" si="2"/>
        <v>43465</v>
      </c>
      <c r="O4" s="395">
        <f t="shared" ref="O4" si="3">EOMONTH(N4,3)</f>
        <v>43555</v>
      </c>
      <c r="P4" s="395">
        <f t="shared" ref="P4" si="4">EOMONTH(O4,3)</f>
        <v>43646</v>
      </c>
      <c r="Q4" s="395">
        <f t="shared" ref="Q4" si="5">EOMONTH(P4,3)</f>
        <v>43738</v>
      </c>
      <c r="R4" s="395">
        <f t="shared" ref="R4" si="6">EOMONTH(Q4,3)</f>
        <v>43830</v>
      </c>
      <c r="S4" s="395">
        <f t="shared" ref="S4" si="7">EOMONTH(R4,3)</f>
        <v>43921</v>
      </c>
      <c r="T4" s="395">
        <f t="shared" ref="T4" si="8">EOMONTH(S4,3)</f>
        <v>44012</v>
      </c>
      <c r="U4" s="395">
        <f t="shared" ref="U4" si="9">EOMONTH(T4,3)</f>
        <v>44104</v>
      </c>
      <c r="V4" s="395">
        <f t="shared" ref="V4" si="10">EOMONTH(U4,3)</f>
        <v>44196</v>
      </c>
      <c r="W4" s="395">
        <f t="shared" ref="W4" si="11">EOMONTH(V4,3)</f>
        <v>44286</v>
      </c>
      <c r="X4" s="395">
        <f t="shared" ref="X4" si="12">EOMONTH(W4,3)</f>
        <v>44377</v>
      </c>
      <c r="Y4" s="395">
        <f t="shared" ref="Y4" si="13">EOMONTH(X4,3)</f>
        <v>44469</v>
      </c>
      <c r="Z4" s="395">
        <f t="shared" ref="Z4" si="14">EOMONTH(Y4,3)</f>
        <v>44561</v>
      </c>
      <c r="AA4" s="395">
        <f t="shared" ref="AA4" si="15">EOMONTH(Z4,3)</f>
        <v>44651</v>
      </c>
      <c r="AB4" s="395">
        <f t="shared" ref="AB4:AC4" si="16">EOMONTH(AA4,3)</f>
        <v>44742</v>
      </c>
      <c r="AC4" s="395">
        <f t="shared" si="16"/>
        <v>44834</v>
      </c>
      <c r="AD4" s="395">
        <f t="shared" ref="AD4" si="17">EOMONTH(AC4,3)</f>
        <v>44926</v>
      </c>
      <c r="AE4" s="395">
        <f t="shared" ref="AE4" si="18">EOMONTH(AD4,3)</f>
        <v>45016</v>
      </c>
      <c r="AF4" s="395">
        <f t="shared" ref="AF4" si="19">EOMONTH(AE4,3)</f>
        <v>45107</v>
      </c>
      <c r="AG4" s="395">
        <f t="shared" ref="AG4" si="20">EOMONTH(AF4,3)</f>
        <v>45199</v>
      </c>
      <c r="AH4" s="395">
        <f t="shared" ref="AH4" si="21">EOMONTH(AG4,3)</f>
        <v>45291</v>
      </c>
      <c r="AI4" s="395">
        <f t="shared" ref="AI4" si="22">EOMONTH(AH4,3)</f>
        <v>45382</v>
      </c>
      <c r="AJ4" s="395">
        <f t="shared" ref="AJ4" si="23">EOMONTH(AI4,3)</f>
        <v>45473</v>
      </c>
      <c r="AK4" s="395">
        <f t="shared" ref="AK4" si="24">EOMONTH(AJ4,3)</f>
        <v>45565</v>
      </c>
      <c r="AL4" s="395">
        <f t="shared" ref="AL4" si="25">EOMONTH(AK4,3)</f>
        <v>45657</v>
      </c>
      <c r="AM4" s="395">
        <f t="shared" ref="AM4" si="26">EOMONTH(AL4,3)</f>
        <v>45747</v>
      </c>
      <c r="AN4" s="395">
        <f t="shared" ref="AN4" si="27">EOMONTH(AM4,3)</f>
        <v>45838</v>
      </c>
      <c r="AO4" s="395">
        <f t="shared" ref="AO4" si="28">EOMONTH(AN4,3)</f>
        <v>45930</v>
      </c>
      <c r="AP4" s="395">
        <f t="shared" ref="AP4" si="29">EOMONTH(AO4,3)</f>
        <v>46022</v>
      </c>
      <c r="AQ4" s="395">
        <f t="shared" ref="AQ4" si="30">EOMONTH(AP4,3)</f>
        <v>46112</v>
      </c>
      <c r="AR4" s="395">
        <f t="shared" ref="AR4" si="31">EOMONTH(AQ4,3)</f>
        <v>46203</v>
      </c>
      <c r="AS4" s="395">
        <f t="shared" ref="AS4" si="32">EOMONTH(AR4,3)</f>
        <v>46295</v>
      </c>
    </row>
    <row r="5" spans="2:45">
      <c r="B5" s="110" t="s">
        <v>115</v>
      </c>
      <c r="C5" s="452">
        <v>162463</v>
      </c>
      <c r="D5" s="452">
        <v>222723</v>
      </c>
      <c r="E5" s="452">
        <v>216304</v>
      </c>
      <c r="F5" s="452">
        <v>236830</v>
      </c>
      <c r="G5" s="452">
        <v>162911</v>
      </c>
      <c r="H5" s="452">
        <v>324178</v>
      </c>
      <c r="I5" s="452">
        <v>365896</v>
      </c>
      <c r="J5" s="452">
        <v>404975</v>
      </c>
      <c r="K5" s="452">
        <v>279024</v>
      </c>
      <c r="L5" s="452">
        <v>419847</v>
      </c>
      <c r="M5" s="452">
        <v>380369</v>
      </c>
      <c r="N5" s="452">
        <v>425160</v>
      </c>
      <c r="O5" s="452">
        <v>287594</v>
      </c>
      <c r="P5" s="452">
        <v>749424</v>
      </c>
      <c r="Q5" s="452">
        <v>195487</v>
      </c>
      <c r="R5" s="452">
        <v>605649</v>
      </c>
      <c r="S5" s="452">
        <v>454727</v>
      </c>
      <c r="T5" s="452">
        <v>481602</v>
      </c>
      <c r="U5" s="452">
        <v>534202</v>
      </c>
      <c r="V5" s="452">
        <v>897398</v>
      </c>
      <c r="W5" s="452">
        <v>705953</v>
      </c>
      <c r="X5" s="452">
        <v>791512</v>
      </c>
      <c r="Y5" s="452">
        <v>751608</v>
      </c>
      <c r="Z5" s="452">
        <f>3050149-Y5-X5-W5</f>
        <v>801076</v>
      </c>
      <c r="AA5" s="452">
        <v>546050</v>
      </c>
      <c r="AB5" s="452">
        <f>1269119-AA14</f>
        <v>723069</v>
      </c>
      <c r="AC5" s="452">
        <f>1816193-AB14</f>
        <v>547074</v>
      </c>
      <c r="AD5" s="452">
        <f>2304455-AC14</f>
        <v>488262</v>
      </c>
      <c r="AE5" s="452">
        <v>487357</v>
      </c>
      <c r="AF5" s="452">
        <f>1132627-AE14</f>
        <v>645270</v>
      </c>
      <c r="AG5" s="452">
        <f>1750166-AF14</f>
        <v>617539</v>
      </c>
      <c r="AH5" s="452">
        <f>2358580-AG14</f>
        <v>608414</v>
      </c>
      <c r="AI5" s="452">
        <v>390851</v>
      </c>
      <c r="AJ5" s="452">
        <v>993348</v>
      </c>
      <c r="AK5" s="452">
        <f>1645202-AJ14</f>
        <v>261003</v>
      </c>
      <c r="AL5" s="452">
        <f>2202598-AK14</f>
        <v>557396</v>
      </c>
      <c r="AM5" s="452">
        <v>351420</v>
      </c>
      <c r="AN5" s="452">
        <f>834905-AM14</f>
        <v>483485</v>
      </c>
      <c r="AO5" s="452">
        <f>1231537-AN14</f>
        <v>396632</v>
      </c>
      <c r="AP5" s="452">
        <f>1705504-AO14</f>
        <v>473967</v>
      </c>
      <c r="AQ5" s="452">
        <v>319736</v>
      </c>
      <c r="AR5" s="452"/>
      <c r="AS5" s="452"/>
    </row>
    <row r="6" spans="2:45">
      <c r="B6" s="112" t="s">
        <v>219</v>
      </c>
      <c r="C6" s="113" t="s">
        <v>174</v>
      </c>
      <c r="D6" s="114">
        <f t="shared" ref="D6:AC6" si="33">D5/C5-1</f>
        <v>0.37091522377402852</v>
      </c>
      <c r="E6" s="114">
        <f t="shared" si="33"/>
        <v>-2.8820552884075701E-2</v>
      </c>
      <c r="F6" s="114">
        <f t="shared" si="33"/>
        <v>9.4894222945484108E-2</v>
      </c>
      <c r="G6" s="114">
        <f t="shared" si="33"/>
        <v>-0.31211839716252165</v>
      </c>
      <c r="H6" s="114">
        <f t="shared" si="33"/>
        <v>0.98990860040144613</v>
      </c>
      <c r="I6" s="114">
        <f t="shared" si="33"/>
        <v>0.12868855998864825</v>
      </c>
      <c r="J6" s="114">
        <f t="shared" si="33"/>
        <v>0.10680357259986439</v>
      </c>
      <c r="K6" s="114">
        <f t="shared" si="33"/>
        <v>-0.31100932156305949</v>
      </c>
      <c r="L6" s="114">
        <f t="shared" si="33"/>
        <v>0.5046985205573713</v>
      </c>
      <c r="M6" s="114">
        <f t="shared" si="33"/>
        <v>-9.4029491695784451E-2</v>
      </c>
      <c r="N6" s="114">
        <f t="shared" si="33"/>
        <v>0.11775670467361965</v>
      </c>
      <c r="O6" s="114">
        <f t="shared" si="33"/>
        <v>-0.32356289396932925</v>
      </c>
      <c r="P6" s="114">
        <f t="shared" si="33"/>
        <v>1.6058401774724089</v>
      </c>
      <c r="Q6" s="114">
        <f t="shared" si="33"/>
        <v>-0.73915033412327336</v>
      </c>
      <c r="R6" s="114">
        <f t="shared" si="33"/>
        <v>2.0981548645178454</v>
      </c>
      <c r="S6" s="114">
        <f t="shared" si="33"/>
        <v>-0.24919053775371547</v>
      </c>
      <c r="T6" s="114">
        <f t="shared" si="33"/>
        <v>5.9101394902875803E-2</v>
      </c>
      <c r="U6" s="114">
        <f t="shared" si="33"/>
        <v>0.10921881553648038</v>
      </c>
      <c r="V6" s="114">
        <f t="shared" si="33"/>
        <v>0.67988513708297615</v>
      </c>
      <c r="W6" s="114">
        <f t="shared" si="33"/>
        <v>-0.21333343733772525</v>
      </c>
      <c r="X6" s="114">
        <f t="shared" si="33"/>
        <v>0.12119645358827014</v>
      </c>
      <c r="Y6" s="114">
        <f t="shared" si="33"/>
        <v>-5.0414902111401982E-2</v>
      </c>
      <c r="Z6" s="114">
        <f t="shared" si="33"/>
        <v>6.5816223350469993E-2</v>
      </c>
      <c r="AA6" s="114">
        <f t="shared" si="33"/>
        <v>-0.31835431344841192</v>
      </c>
      <c r="AB6" s="114">
        <f t="shared" si="33"/>
        <v>0.3241809358117389</v>
      </c>
      <c r="AC6" s="114">
        <f t="shared" si="33"/>
        <v>-0.24340000746816692</v>
      </c>
      <c r="AD6" s="114">
        <f t="shared" ref="AD6" si="34">AD5/AC5-1</f>
        <v>-0.10750282411520196</v>
      </c>
      <c r="AE6" s="114">
        <f t="shared" ref="AE6" si="35">AE5/AD5-1</f>
        <v>-1.8535130728993821E-3</v>
      </c>
      <c r="AF6" s="114">
        <f t="shared" ref="AF6" si="36">AF5/AE5-1</f>
        <v>0.32401914818090227</v>
      </c>
      <c r="AG6" s="114">
        <f t="shared" ref="AG6" si="37">AG5/AF5-1</f>
        <v>-4.2975808576254937E-2</v>
      </c>
      <c r="AH6" s="114">
        <f t="shared" ref="AH6" si="38">AH5/AG5-1</f>
        <v>-1.47763946892423E-2</v>
      </c>
      <c r="AI6" s="114">
        <f t="shared" ref="AI6" si="39">AI5/AH5-1</f>
        <v>-0.3575903907536645</v>
      </c>
      <c r="AJ6" s="114">
        <f t="shared" ref="AJ6" si="40">AJ5/AI5-1</f>
        <v>1.5415004694883727</v>
      </c>
      <c r="AK6" s="114">
        <f t="shared" ref="AK6" si="41">AK5/AJ5-1</f>
        <v>-0.73724918155570851</v>
      </c>
      <c r="AL6" s="114">
        <f t="shared" ref="AL6" si="42">AL5/AK5-1</f>
        <v>1.1355923111994883</v>
      </c>
      <c r="AM6" s="114">
        <f t="shared" ref="AM6" si="43">AM5/AL5-1</f>
        <v>-0.36953261236176793</v>
      </c>
      <c r="AN6" s="114">
        <f t="shared" ref="AN6" si="44">AN5/AM5-1</f>
        <v>0.37580388139548115</v>
      </c>
      <c r="AO6" s="114">
        <f t="shared" ref="AO6" si="45">AO5/AN5-1</f>
        <v>-0.17963949243513244</v>
      </c>
      <c r="AP6" s="114">
        <f t="shared" ref="AP6" si="46">AP5/AO5-1</f>
        <v>0.19497922507513255</v>
      </c>
      <c r="AQ6" s="114">
        <f t="shared" ref="AQ6" si="47">AQ5/AP5-1</f>
        <v>-0.32540451128454095</v>
      </c>
      <c r="AR6" s="114">
        <f t="shared" ref="AR6" si="48">AR5/AQ5-1</f>
        <v>-1</v>
      </c>
      <c r="AS6" s="114" t="e">
        <f t="shared" ref="AS6" si="49">AS5/AR5-1</f>
        <v>#DIV/0!</v>
      </c>
    </row>
    <row r="7" spans="2:45">
      <c r="B7" s="110" t="s">
        <v>117</v>
      </c>
      <c r="C7" s="452">
        <v>41369</v>
      </c>
      <c r="D7" s="452">
        <v>59095</v>
      </c>
      <c r="E7" s="452">
        <v>56821</v>
      </c>
      <c r="F7" s="452">
        <v>64328</v>
      </c>
      <c r="G7" s="452">
        <v>43499</v>
      </c>
      <c r="H7" s="452">
        <v>86348</v>
      </c>
      <c r="I7" s="452">
        <v>91896</v>
      </c>
      <c r="J7" s="452">
        <v>98677</v>
      </c>
      <c r="K7" s="452">
        <v>46310</v>
      </c>
      <c r="L7" s="452">
        <v>80464</v>
      </c>
      <c r="M7" s="452">
        <v>69444</v>
      </c>
      <c r="N7" s="452">
        <v>183698</v>
      </c>
      <c r="O7" s="452">
        <v>66304</v>
      </c>
      <c r="P7" s="452">
        <v>177615</v>
      </c>
      <c r="Q7" s="452">
        <v>50346</v>
      </c>
      <c r="R7" s="452">
        <v>142214</v>
      </c>
      <c r="S7" s="452">
        <v>106564</v>
      </c>
      <c r="T7" s="452">
        <v>117973</v>
      </c>
      <c r="U7" s="452">
        <v>135231</v>
      </c>
      <c r="V7" s="452">
        <v>243329</v>
      </c>
      <c r="W7" s="452">
        <v>189949</v>
      </c>
      <c r="X7" s="452">
        <v>214079</v>
      </c>
      <c r="Y7" s="452">
        <v>202289</v>
      </c>
      <c r="Z7" s="452">
        <f>818034-Y7-X7-W7</f>
        <v>211717</v>
      </c>
      <c r="AA7" s="452">
        <v>158407</v>
      </c>
      <c r="AB7" s="452">
        <f>(1269119-879353)-AA16</f>
        <v>231359</v>
      </c>
      <c r="AC7" s="452">
        <f>545565-AB16</f>
        <v>155799</v>
      </c>
      <c r="AD7" s="452">
        <f>(2304455-1657855)-AC16</f>
        <v>101035</v>
      </c>
      <c r="AE7" s="452">
        <v>98816</v>
      </c>
      <c r="AF7" s="452">
        <f>(1132627-891874)-AE16</f>
        <v>141937</v>
      </c>
      <c r="AG7" s="452">
        <f>399558-AF16</f>
        <v>158805</v>
      </c>
      <c r="AH7" s="452">
        <f>542187-AG16</f>
        <v>142629</v>
      </c>
      <c r="AI7" s="452">
        <v>91401</v>
      </c>
      <c r="AJ7" s="452">
        <v>242285</v>
      </c>
      <c r="AK7" s="452">
        <f>405777-AJ16</f>
        <v>72091</v>
      </c>
      <c r="AL7" s="452">
        <f>1669310-AK16</f>
        <v>1263533</v>
      </c>
      <c r="AM7" s="452">
        <v>73713</v>
      </c>
      <c r="AN7" s="452">
        <f>184321-AM16</f>
        <v>110608</v>
      </c>
      <c r="AO7" s="452">
        <f>269433-AN16</f>
        <v>85112</v>
      </c>
      <c r="AP7" s="452">
        <f>353546-AO16</f>
        <v>84113</v>
      </c>
      <c r="AQ7" s="452">
        <f>AQ5-259807</f>
        <v>59929</v>
      </c>
      <c r="AR7" s="452"/>
      <c r="AS7" s="452"/>
    </row>
    <row r="8" spans="2:45">
      <c r="B8" s="112" t="s">
        <v>118</v>
      </c>
      <c r="C8" s="116">
        <f t="shared" ref="C8:K8" si="50">C7/C5</f>
        <v>0.25463644029717536</v>
      </c>
      <c r="D8" s="116">
        <f t="shared" si="50"/>
        <v>0.26532957979193889</v>
      </c>
      <c r="E8" s="116">
        <f t="shared" si="50"/>
        <v>0.26269047266809675</v>
      </c>
      <c r="F8" s="116">
        <f t="shared" si="50"/>
        <v>0.27162099396191358</v>
      </c>
      <c r="G8" s="116">
        <f t="shared" si="50"/>
        <v>0.26701082185978847</v>
      </c>
      <c r="H8" s="116">
        <f t="shared" si="50"/>
        <v>0.26635983934751895</v>
      </c>
      <c r="I8" s="116">
        <f t="shared" si="50"/>
        <v>0.25115333318757244</v>
      </c>
      <c r="J8" s="116">
        <f t="shared" si="50"/>
        <v>0.24366195444163219</v>
      </c>
      <c r="K8" s="116">
        <f t="shared" si="50"/>
        <v>0.16597138597396641</v>
      </c>
      <c r="L8" s="116">
        <f t="shared" ref="L8:M8" si="51">L7/L5</f>
        <v>0.19165076801787317</v>
      </c>
      <c r="M8" s="116">
        <f t="shared" si="51"/>
        <v>0.18257008326125421</v>
      </c>
      <c r="N8" s="116">
        <f t="shared" ref="N8:P8" si="52">N7/N5</f>
        <v>0.43206792736852007</v>
      </c>
      <c r="O8" s="116">
        <f t="shared" si="52"/>
        <v>0.23054722977530825</v>
      </c>
      <c r="P8" s="116">
        <f t="shared" si="52"/>
        <v>0.237002017549478</v>
      </c>
      <c r="Q8" s="116">
        <f t="shared" ref="Q8:S8" si="53">Q7/Q5</f>
        <v>0.25754142219175702</v>
      </c>
      <c r="R8" s="116">
        <f t="shared" si="53"/>
        <v>0.23481257295892505</v>
      </c>
      <c r="S8" s="116">
        <f t="shared" si="53"/>
        <v>0.23434720172762999</v>
      </c>
      <c r="T8" s="116">
        <f t="shared" ref="T8:U8" si="54">T7/T5</f>
        <v>0.24495953089895806</v>
      </c>
      <c r="U8" s="116">
        <f t="shared" si="54"/>
        <v>0.25314581375584516</v>
      </c>
      <c r="V8" s="116">
        <f t="shared" ref="V8:W8" si="55">V7/V5</f>
        <v>0.27114947882656304</v>
      </c>
      <c r="W8" s="116">
        <f t="shared" si="55"/>
        <v>0.26906748749562648</v>
      </c>
      <c r="X8" s="116">
        <f t="shared" ref="X8:Z8" si="56">X7/X5</f>
        <v>0.27046841993551585</v>
      </c>
      <c r="Y8" s="116">
        <f t="shared" si="56"/>
        <v>0.26914162701833932</v>
      </c>
      <c r="Z8" s="116">
        <f t="shared" si="56"/>
        <v>0.26429077890237629</v>
      </c>
      <c r="AA8" s="116">
        <f t="shared" ref="AA8:AB8" si="57">AA7/AA5</f>
        <v>0.29009614504166287</v>
      </c>
      <c r="AB8" s="116">
        <f t="shared" si="57"/>
        <v>0.31996808050130759</v>
      </c>
      <c r="AC8" s="116">
        <f t="shared" ref="AC8:AS8" si="58">AC7/AC5</f>
        <v>0.28478597045372289</v>
      </c>
      <c r="AD8" s="116">
        <f t="shared" si="58"/>
        <v>0.20692783792308228</v>
      </c>
      <c r="AE8" s="116">
        <f t="shared" si="58"/>
        <v>0.20275896314200884</v>
      </c>
      <c r="AF8" s="116">
        <f t="shared" si="58"/>
        <v>0.21996528584933439</v>
      </c>
      <c r="AG8" s="116">
        <f t="shared" si="58"/>
        <v>0.25715784752056148</v>
      </c>
      <c r="AH8" s="116">
        <f t="shared" si="58"/>
        <v>0.23442754440233129</v>
      </c>
      <c r="AI8" s="116">
        <f t="shared" si="58"/>
        <v>0.23385126301327105</v>
      </c>
      <c r="AJ8" s="116">
        <f t="shared" si="58"/>
        <v>0.24390747250711733</v>
      </c>
      <c r="AK8" s="116">
        <f t="shared" si="58"/>
        <v>0.27620755316988693</v>
      </c>
      <c r="AL8" s="116">
        <f t="shared" si="58"/>
        <v>2.2668497800486547</v>
      </c>
      <c r="AM8" s="116">
        <f t="shared" si="58"/>
        <v>0.20975755506231861</v>
      </c>
      <c r="AN8" s="116">
        <f t="shared" si="58"/>
        <v>0.22877235074511101</v>
      </c>
      <c r="AO8" s="116">
        <f t="shared" si="58"/>
        <v>0.2145868210330987</v>
      </c>
      <c r="AP8" s="116">
        <f t="shared" si="58"/>
        <v>0.17746594172168104</v>
      </c>
      <c r="AQ8" s="116">
        <f t="shared" si="58"/>
        <v>0.18743275702454526</v>
      </c>
      <c r="AR8" s="116" t="e">
        <f t="shared" si="58"/>
        <v>#DIV/0!</v>
      </c>
      <c r="AS8" s="116" t="e">
        <f t="shared" si="58"/>
        <v>#DIV/0!</v>
      </c>
    </row>
    <row r="9" spans="2:45">
      <c r="B9" s="110" t="s">
        <v>119</v>
      </c>
      <c r="C9" s="452">
        <v>24043</v>
      </c>
      <c r="D9" s="452">
        <v>28355</v>
      </c>
      <c r="E9" s="452">
        <v>27722</v>
      </c>
      <c r="F9" s="452">
        <v>15683</v>
      </c>
      <c r="G9" s="452">
        <v>27372</v>
      </c>
      <c r="H9" s="452">
        <v>37873</v>
      </c>
      <c r="I9" s="452">
        <v>28177</v>
      </c>
      <c r="J9" s="452">
        <v>57197</v>
      </c>
      <c r="K9" s="452">
        <v>15440</v>
      </c>
      <c r="L9" s="452">
        <v>18302</v>
      </c>
      <c r="M9" s="452">
        <v>17794</v>
      </c>
      <c r="N9" s="452">
        <v>128269</v>
      </c>
      <c r="O9" s="452">
        <v>45229</v>
      </c>
      <c r="P9" s="452">
        <v>98099</v>
      </c>
      <c r="Q9" s="452">
        <v>7396</v>
      </c>
      <c r="R9" s="452">
        <v>58217</v>
      </c>
      <c r="S9" s="452">
        <v>52686</v>
      </c>
      <c r="T9" s="452">
        <v>50139</v>
      </c>
      <c r="U9" s="452">
        <v>57790</v>
      </c>
      <c r="V9" s="452">
        <v>77772</v>
      </c>
      <c r="W9" s="452">
        <v>67506</v>
      </c>
      <c r="X9" s="452">
        <v>23276</v>
      </c>
      <c r="Y9" s="452">
        <v>24480</v>
      </c>
      <c r="Z9" s="552">
        <f>270336-Y9-X9-W9</f>
        <v>155074</v>
      </c>
      <c r="AA9" s="452">
        <v>62687</v>
      </c>
      <c r="AB9" s="452">
        <f>(77667+57373)-AA18</f>
        <v>72353</v>
      </c>
      <c r="AC9" s="452">
        <f>196262-AB18</f>
        <v>61222</v>
      </c>
      <c r="AD9" s="452">
        <f>(144928+111565)-AC18</f>
        <v>60231</v>
      </c>
      <c r="AE9" s="452">
        <v>72765</v>
      </c>
      <c r="AF9" s="452">
        <f>(92030+57586)-AE18</f>
        <v>76851</v>
      </c>
      <c r="AG9" s="452">
        <f>226145-AF18</f>
        <v>76529</v>
      </c>
      <c r="AH9" s="452">
        <f>308932-AG18</f>
        <v>82787</v>
      </c>
      <c r="AI9" s="452">
        <v>72668</v>
      </c>
      <c r="AJ9" s="452">
        <v>156031</v>
      </c>
      <c r="AK9" s="452">
        <f>239218-AJ18</f>
        <v>10519</v>
      </c>
      <c r="AL9" s="452">
        <f>321142-AK18</f>
        <v>81924</v>
      </c>
      <c r="AM9" s="452">
        <v>73544</v>
      </c>
      <c r="AN9" s="452">
        <f>144544-AM18</f>
        <v>71000</v>
      </c>
      <c r="AO9" s="452">
        <f>208172-AN18</f>
        <v>63628</v>
      </c>
      <c r="AP9" s="452">
        <f>273770-AO18</f>
        <v>65598</v>
      </c>
      <c r="AQ9" s="452">
        <f>32650+27861</f>
        <v>60511</v>
      </c>
      <c r="AR9" s="452"/>
      <c r="AS9" s="452"/>
    </row>
    <row r="10" spans="2:45">
      <c r="B10" s="110" t="s">
        <v>121</v>
      </c>
      <c r="C10" s="452">
        <v>11700</v>
      </c>
      <c r="D10" s="452">
        <v>20659</v>
      </c>
      <c r="E10" s="452">
        <v>19467</v>
      </c>
      <c r="F10" s="452">
        <v>23205</v>
      </c>
      <c r="G10" s="452">
        <v>11780</v>
      </c>
      <c r="H10" s="452">
        <v>32199</v>
      </c>
      <c r="I10" s="452">
        <v>33687</v>
      </c>
      <c r="J10" s="452">
        <v>35640</v>
      </c>
      <c r="K10" s="452">
        <v>27302</v>
      </c>
      <c r="L10" s="452">
        <v>47608</v>
      </c>
      <c r="M10" s="452">
        <v>37723</v>
      </c>
      <c r="N10" s="452">
        <v>42653</v>
      </c>
      <c r="O10" s="452">
        <v>18334</v>
      </c>
      <c r="P10" s="452">
        <v>64389</v>
      </c>
      <c r="Q10" s="452">
        <v>31015</v>
      </c>
      <c r="R10" s="452">
        <v>64870</v>
      </c>
      <c r="S10" s="452">
        <v>42839</v>
      </c>
      <c r="T10" s="452">
        <v>55624</v>
      </c>
      <c r="U10" s="452">
        <v>89004</v>
      </c>
      <c r="V10" s="452">
        <v>138428</v>
      </c>
      <c r="W10" s="452">
        <v>99658</v>
      </c>
      <c r="X10" s="452">
        <v>118134</v>
      </c>
      <c r="Y10" s="452">
        <v>100550</v>
      </c>
      <c r="Z10" s="452">
        <f>429645-Y10-X10-W10</f>
        <v>111303</v>
      </c>
      <c r="AA10" s="452">
        <v>78686</v>
      </c>
      <c r="AB10" s="452">
        <f>202062-AA19</f>
        <v>123376</v>
      </c>
      <c r="AC10" s="452">
        <f>292452-AB19</f>
        <v>90390</v>
      </c>
      <c r="AD10" s="452">
        <f>326567-AC19</f>
        <v>34115</v>
      </c>
      <c r="AE10" s="452">
        <v>26962</v>
      </c>
      <c r="AF10" s="452">
        <f>80096-AE19</f>
        <v>53134</v>
      </c>
      <c r="AG10" s="452">
        <f>147138-AF19</f>
        <v>67042</v>
      </c>
      <c r="AH10" s="452">
        <f>199227-AG19</f>
        <v>52089</v>
      </c>
      <c r="AI10" s="452">
        <v>17053</v>
      </c>
      <c r="AJ10" s="452">
        <v>99977</v>
      </c>
      <c r="AK10" s="452">
        <f>145201-AJ19</f>
        <v>28171</v>
      </c>
      <c r="AL10" s="452">
        <f>196071-AK19</f>
        <v>50870</v>
      </c>
      <c r="AM10" s="452">
        <v>5724</v>
      </c>
      <c r="AN10" s="452">
        <f>47764-AM19</f>
        <v>42040</v>
      </c>
      <c r="AO10" s="452">
        <f>74465-AN19</f>
        <v>26701</v>
      </c>
      <c r="AP10" s="452">
        <f>98486-AO19</f>
        <v>24021</v>
      </c>
      <c r="AQ10" s="452">
        <v>4319</v>
      </c>
      <c r="AR10" s="452"/>
      <c r="AS10" s="452"/>
    </row>
    <row r="11" spans="2:45">
      <c r="B11" s="112" t="s">
        <v>220</v>
      </c>
      <c r="C11" s="116">
        <f t="shared" ref="C11:K11" si="59">C10/C5</f>
        <v>7.2016397579756627E-2</v>
      </c>
      <c r="D11" s="116">
        <f t="shared" si="59"/>
        <v>9.2756473287446739E-2</v>
      </c>
      <c r="E11" s="116">
        <f t="shared" si="59"/>
        <v>8.9998335675715663E-2</v>
      </c>
      <c r="F11" s="116">
        <f t="shared" si="59"/>
        <v>9.7981674618924972E-2</v>
      </c>
      <c r="G11" s="116">
        <f t="shared" si="59"/>
        <v>7.23094204811216E-2</v>
      </c>
      <c r="H11" s="116">
        <f t="shared" si="59"/>
        <v>9.9325062157209931E-2</v>
      </c>
      <c r="I11" s="116">
        <f t="shared" si="59"/>
        <v>9.2067144762446165E-2</v>
      </c>
      <c r="J11" s="116">
        <f t="shared" si="59"/>
        <v>8.8005432434100875E-2</v>
      </c>
      <c r="K11" s="116">
        <f t="shared" si="59"/>
        <v>9.7848213773725559E-2</v>
      </c>
      <c r="L11" s="116">
        <f t="shared" ref="L11:M11" si="60">L10/L5</f>
        <v>0.11339368865324749</v>
      </c>
      <c r="M11" s="116">
        <f t="shared" si="60"/>
        <v>9.9174748730837689E-2</v>
      </c>
      <c r="N11" s="116">
        <f t="shared" ref="N11:P11" si="61">N10/N5</f>
        <v>0.10032223163044501</v>
      </c>
      <c r="O11" s="116">
        <f t="shared" si="61"/>
        <v>6.3749591437929853E-2</v>
      </c>
      <c r="P11" s="116">
        <f t="shared" si="61"/>
        <v>8.5917985012489595E-2</v>
      </c>
      <c r="Q11" s="116">
        <f t="shared" ref="Q11:S11" si="62">Q10/Q5</f>
        <v>0.15865505123102816</v>
      </c>
      <c r="R11" s="116">
        <f t="shared" si="62"/>
        <v>0.10710824256293662</v>
      </c>
      <c r="S11" s="116">
        <f t="shared" si="62"/>
        <v>9.4208173255601713E-2</v>
      </c>
      <c r="T11" s="116">
        <f t="shared" ref="T11:U11" si="63">T10/T5</f>
        <v>0.11549785922815935</v>
      </c>
      <c r="U11" s="116">
        <f t="shared" si="63"/>
        <v>0.16661113211856191</v>
      </c>
      <c r="V11" s="116">
        <f t="shared" ref="V11:W11" si="64">V10/V5</f>
        <v>0.15425485681938225</v>
      </c>
      <c r="W11" s="116">
        <f t="shared" si="64"/>
        <v>0.14116803809885362</v>
      </c>
      <c r="X11" s="116">
        <f t="shared" ref="X11:Y11" si="65">X10/X5</f>
        <v>0.14925105367953992</v>
      </c>
      <c r="Y11" s="116">
        <f t="shared" si="65"/>
        <v>0.13377984268395227</v>
      </c>
      <c r="Z11" s="116">
        <f t="shared" ref="Z11:AB11" si="66">Z10/Z5</f>
        <v>0.13894187318057213</v>
      </c>
      <c r="AA11" s="116">
        <f t="shared" si="66"/>
        <v>0.14410035711015476</v>
      </c>
      <c r="AB11" s="116">
        <f t="shared" si="66"/>
        <v>0.17062825262872561</v>
      </c>
      <c r="AC11" s="116">
        <f t="shared" ref="AC11:AS11" si="67">AC10/AC5</f>
        <v>0.16522444861207075</v>
      </c>
      <c r="AD11" s="116">
        <f t="shared" si="67"/>
        <v>6.9870274565704479E-2</v>
      </c>
      <c r="AE11" s="116">
        <f t="shared" si="67"/>
        <v>5.5322894715783298E-2</v>
      </c>
      <c r="AF11" s="116">
        <f t="shared" si="67"/>
        <v>8.2343825065476467E-2</v>
      </c>
      <c r="AG11" s="116">
        <f t="shared" si="67"/>
        <v>0.1085631838636912</v>
      </c>
      <c r="AH11" s="116">
        <f t="shared" si="67"/>
        <v>8.5614400720561992E-2</v>
      </c>
      <c r="AI11" s="116">
        <f t="shared" si="67"/>
        <v>4.3630437174268455E-2</v>
      </c>
      <c r="AJ11" s="116">
        <f t="shared" si="67"/>
        <v>0.10064650052146881</v>
      </c>
      <c r="AK11" s="116">
        <f t="shared" si="67"/>
        <v>0.10793362528400056</v>
      </c>
      <c r="AL11" s="116">
        <f t="shared" si="67"/>
        <v>9.1263661741383145E-2</v>
      </c>
      <c r="AM11" s="116">
        <f t="shared" si="67"/>
        <v>1.6288202151271983E-2</v>
      </c>
      <c r="AN11" s="116">
        <f t="shared" si="67"/>
        <v>8.6952025398926547E-2</v>
      </c>
      <c r="AO11" s="116">
        <f t="shared" si="67"/>
        <v>6.7319328748058654E-2</v>
      </c>
      <c r="AP11" s="116">
        <f t="shared" si="67"/>
        <v>5.0680743596073143E-2</v>
      </c>
      <c r="AQ11" s="116">
        <f t="shared" si="67"/>
        <v>1.3508019115770511E-2</v>
      </c>
      <c r="AR11" s="116" t="e">
        <f t="shared" si="67"/>
        <v>#DIV/0!</v>
      </c>
      <c r="AS11" s="116" t="e">
        <f t="shared" si="67"/>
        <v>#DIV/0!</v>
      </c>
    </row>
    <row r="12" spans="2:45">
      <c r="Z12" s="108">
        <f>170005+100331</f>
        <v>270336</v>
      </c>
    </row>
    <row r="13" spans="2:45">
      <c r="B13" s="246" t="s">
        <v>221</v>
      </c>
      <c r="C13" s="383">
        <f t="shared" ref="C13:N13" si="68">C4</f>
        <v>42460</v>
      </c>
      <c r="D13" s="383">
        <f t="shared" si="68"/>
        <v>42551</v>
      </c>
      <c r="E13" s="383">
        <f t="shared" si="68"/>
        <v>42643</v>
      </c>
      <c r="F13" s="383">
        <f t="shared" si="68"/>
        <v>42735</v>
      </c>
      <c r="G13" s="383">
        <f t="shared" si="68"/>
        <v>42825</v>
      </c>
      <c r="H13" s="383">
        <f t="shared" si="68"/>
        <v>42916</v>
      </c>
      <c r="I13" s="383">
        <f t="shared" si="68"/>
        <v>43008</v>
      </c>
      <c r="J13" s="383">
        <f t="shared" si="68"/>
        <v>43100</v>
      </c>
      <c r="K13" s="383">
        <f t="shared" si="68"/>
        <v>43190</v>
      </c>
      <c r="L13" s="383">
        <f t="shared" si="68"/>
        <v>43281</v>
      </c>
      <c r="M13" s="383">
        <f t="shared" si="68"/>
        <v>43373</v>
      </c>
      <c r="N13" s="383">
        <f t="shared" si="68"/>
        <v>43465</v>
      </c>
      <c r="O13" s="395">
        <f t="shared" ref="O13" si="69">EOMONTH(N13,3)</f>
        <v>43555</v>
      </c>
      <c r="P13" s="395">
        <f t="shared" ref="P13" si="70">EOMONTH(O13,3)</f>
        <v>43646</v>
      </c>
      <c r="Q13" s="395">
        <f t="shared" ref="Q13" si="71">EOMONTH(P13,3)</f>
        <v>43738</v>
      </c>
      <c r="R13" s="395">
        <f t="shared" ref="R13" si="72">EOMONTH(Q13,3)</f>
        <v>43830</v>
      </c>
      <c r="S13" s="395">
        <f t="shared" ref="S13" si="73">EOMONTH(R13,3)</f>
        <v>43921</v>
      </c>
      <c r="T13" s="395">
        <f t="shared" ref="T13" si="74">EOMONTH(S13,3)</f>
        <v>44012</v>
      </c>
      <c r="U13" s="395">
        <f t="shared" ref="U13" si="75">EOMONTH(T13,3)</f>
        <v>44104</v>
      </c>
      <c r="V13" s="395">
        <f t="shared" ref="V13" si="76">EOMONTH(U13,3)</f>
        <v>44196</v>
      </c>
      <c r="W13" s="395">
        <f t="shared" ref="W13" si="77">EOMONTH(V13,3)</f>
        <v>44286</v>
      </c>
      <c r="X13" s="395">
        <f t="shared" ref="X13:Z13" si="78">EOMONTH(W13,3)</f>
        <v>44377</v>
      </c>
      <c r="Y13" s="395">
        <f t="shared" ref="Y13:AA13" si="79">EOMONTH(X13,3)</f>
        <v>44469</v>
      </c>
      <c r="Z13" s="395">
        <f t="shared" si="78"/>
        <v>44561</v>
      </c>
      <c r="AA13" s="395">
        <f t="shared" si="79"/>
        <v>44651</v>
      </c>
      <c r="AB13" s="395">
        <f t="shared" ref="AB13" si="80">EOMONTH(AA13,3)</f>
        <v>44742</v>
      </c>
      <c r="AC13" s="395">
        <f t="shared" ref="AC13" si="81">EOMONTH(AB13,3)</f>
        <v>44834</v>
      </c>
      <c r="AD13" s="395">
        <f t="shared" ref="AD13" si="82">EOMONTH(AC13,3)</f>
        <v>44926</v>
      </c>
      <c r="AE13" s="395">
        <f t="shared" ref="AE13" si="83">EOMONTH(AD13,3)</f>
        <v>45016</v>
      </c>
      <c r="AF13" s="395">
        <f t="shared" ref="AF13" si="84">EOMONTH(AE13,3)</f>
        <v>45107</v>
      </c>
      <c r="AG13" s="395">
        <f t="shared" ref="AG13" si="85">EOMONTH(AF13,3)</f>
        <v>45199</v>
      </c>
      <c r="AH13" s="395">
        <f t="shared" ref="AH13" si="86">EOMONTH(AG13,3)</f>
        <v>45291</v>
      </c>
      <c r="AI13" s="395">
        <f t="shared" ref="AI13" si="87">EOMONTH(AH13,3)</f>
        <v>45382</v>
      </c>
      <c r="AJ13" s="395">
        <f t="shared" ref="AJ13" si="88">EOMONTH(AI13,3)</f>
        <v>45473</v>
      </c>
      <c r="AK13" s="395">
        <f t="shared" ref="AK13" si="89">EOMONTH(AJ13,3)</f>
        <v>45565</v>
      </c>
      <c r="AL13" s="395">
        <f t="shared" ref="AL13" si="90">EOMONTH(AK13,3)</f>
        <v>45657</v>
      </c>
      <c r="AM13" s="395">
        <f t="shared" ref="AM13" si="91">EOMONTH(AL13,3)</f>
        <v>45747</v>
      </c>
      <c r="AN13" s="395">
        <f t="shared" ref="AN13" si="92">EOMONTH(AM13,3)</f>
        <v>45838</v>
      </c>
      <c r="AO13" s="395">
        <f t="shared" ref="AO13" si="93">EOMONTH(AN13,3)</f>
        <v>45930</v>
      </c>
      <c r="AP13" s="395">
        <f t="shared" ref="AP13" si="94">EOMONTH(AO13,3)</f>
        <v>46022</v>
      </c>
      <c r="AQ13" s="395">
        <f t="shared" ref="AQ13" si="95">EOMONTH(AP13,3)</f>
        <v>46112</v>
      </c>
      <c r="AR13" s="395">
        <f t="shared" ref="AR13" si="96">EOMONTH(AQ13,3)</f>
        <v>46203</v>
      </c>
      <c r="AS13" s="395">
        <f t="shared" ref="AS13" si="97">EOMONTH(AR13,3)</f>
        <v>46295</v>
      </c>
    </row>
    <row r="14" spans="2:45">
      <c r="B14" s="108" t="s">
        <v>115</v>
      </c>
      <c r="C14" s="117">
        <f>SUMIF($C$3:C$3,"="&amp;C$3,$C$5:C$5)</f>
        <v>162463</v>
      </c>
      <c r="D14" s="117">
        <f>SUMIF($C$3:D$3,"="&amp;D$3,$C$5:D$5)</f>
        <v>385186</v>
      </c>
      <c r="E14" s="117">
        <f>SUMIF($C$3:E$3,"="&amp;E$3,$C$5:E$5)</f>
        <v>601490</v>
      </c>
      <c r="F14" s="117">
        <f>SUMIF($C$3:F$3,"="&amp;F$3,$C$5:F$5)</f>
        <v>838320</v>
      </c>
      <c r="G14" s="117">
        <f>SUMIF($C$3:G$3,"="&amp;G$3,$C$5:G$5)</f>
        <v>162911</v>
      </c>
      <c r="H14" s="117">
        <f>SUMIF($C$3:H$3,"="&amp;H$3,$C$5:H$5)</f>
        <v>487089</v>
      </c>
      <c r="I14" s="117">
        <f>SUMIF($C$3:I$3,"="&amp;I$3,$C$5:I$5)</f>
        <v>852985</v>
      </c>
      <c r="J14" s="117">
        <f>SUMIF($C$3:J$3,"="&amp;J$3,$C$5:J$5)</f>
        <v>1257960</v>
      </c>
      <c r="K14" s="117">
        <f>SUMIF($C$3:K$3,"="&amp;K$3,$C$5:K$5)</f>
        <v>279024</v>
      </c>
      <c r="L14" s="117">
        <f>SUMIF($C$3:L$3,"="&amp;L$3,$C$5:L$5)</f>
        <v>698871</v>
      </c>
      <c r="M14" s="117">
        <f>SUMIF($C$3:M$3,"="&amp;M$3,$C$5:M$5)</f>
        <v>1079240</v>
      </c>
      <c r="N14" s="117">
        <f>SUMIF($C$3:N$3,"="&amp;N$3,$C$5:N$5)</f>
        <v>1504400</v>
      </c>
      <c r="O14" s="117">
        <f>SUMIF($C$3:O$3,"="&amp;O$3,$C$5:O$5)</f>
        <v>287594</v>
      </c>
      <c r="P14" s="117">
        <f>SUMIF($C$3:P$3,"="&amp;P$3,$C$5:P$5)</f>
        <v>1037018</v>
      </c>
      <c r="Q14" s="117">
        <f>SUMIF($C$3:Q$3,"="&amp;Q$3,$C$5:Q$5)</f>
        <v>1232505</v>
      </c>
      <c r="R14" s="117">
        <f>SUMIF($C$3:R$3,"="&amp;R$3,$C$5:R$5)</f>
        <v>1838154</v>
      </c>
      <c r="S14" s="117">
        <f>SUMIF($C$3:S$3,"="&amp;S$3,$C$5:S$5)</f>
        <v>454727</v>
      </c>
      <c r="T14" s="117">
        <f>SUMIF($C$3:T$3,"="&amp;T$3,$C$5:T$5)</f>
        <v>936329</v>
      </c>
      <c r="U14" s="117">
        <f>SUMIF($C$3:U$3,"="&amp;U$3,$C$5:U$5)</f>
        <v>1470531</v>
      </c>
      <c r="V14" s="117">
        <f>SUMIF($C$3:V$3,"="&amp;V$3,$C$5:V$5)</f>
        <v>2367929</v>
      </c>
      <c r="W14" s="117">
        <f>SUMIF($C$3:W$3,"="&amp;W$3,$C$5:W$5)</f>
        <v>705953</v>
      </c>
      <c r="X14" s="117">
        <f>SUMIF($C$3:X$3,"="&amp;X$3,$C$5:X$5)</f>
        <v>1497465</v>
      </c>
      <c r="Y14" s="117">
        <f>SUMIF($C$3:Y$3,"="&amp;Y$3,$C$5:Y$5)</f>
        <v>2249073</v>
      </c>
      <c r="Z14" s="117">
        <f>SUMIF($C$3:Z$3,"="&amp;Z$3,$C$5:Z$5)</f>
        <v>3050149</v>
      </c>
      <c r="AA14" s="117">
        <f>SUMIF($C$3:AA$3,"="&amp;AA$3,$C$5:AA$5)</f>
        <v>546050</v>
      </c>
      <c r="AB14" s="117">
        <f>SUMIF($C$3:AB$3,"="&amp;AB$3,$C$5:AB$5)</f>
        <v>1269119</v>
      </c>
      <c r="AC14" s="117">
        <f>SUMIF($C$3:AC$3,"="&amp;AC$3,$C$5:AC$5)</f>
        <v>1816193</v>
      </c>
      <c r="AD14" s="117">
        <f>SUMIF($C$3:AD$3,"="&amp;AD$3,$C$5:AD$5)</f>
        <v>2304455</v>
      </c>
      <c r="AE14" s="117">
        <f>SUMIF($C$3:AE$3,"="&amp;AE$3,$C$5:AE$5)</f>
        <v>487357</v>
      </c>
      <c r="AF14" s="117">
        <f>SUMIF($C$3:AF$3,"="&amp;AF$3,$C$5:AF$5)</f>
        <v>1132627</v>
      </c>
      <c r="AG14" s="117">
        <f>SUMIF($C$3:AG$3,"="&amp;AG$3,$C$5:AG$5)</f>
        <v>1750166</v>
      </c>
      <c r="AH14" s="117">
        <f>SUMIF($C$3:AH$3,"="&amp;AH$3,$C$5:AH$5)</f>
        <v>2358580</v>
      </c>
      <c r="AI14" s="117">
        <f>SUMIF($C$3:AI$3,"="&amp;AI$3,$C$5:AI$5)</f>
        <v>390851</v>
      </c>
      <c r="AJ14" s="117">
        <f>SUMIF($C$3:AJ$3,"="&amp;AJ$3,$C$5:AJ$5)</f>
        <v>1384199</v>
      </c>
      <c r="AK14" s="117">
        <f>SUMIF($C$3:AK$3,"="&amp;AK$3,$C$5:AK$5)</f>
        <v>1645202</v>
      </c>
      <c r="AL14" s="117">
        <f>SUMIF($C$3:AL$3,"="&amp;AL$3,$C$5:AL$5)</f>
        <v>2202598</v>
      </c>
      <c r="AM14" s="117">
        <f>SUMIF($C$3:AM$3,"="&amp;AM$3,$C$5:AM$5)</f>
        <v>351420</v>
      </c>
      <c r="AN14" s="117">
        <f>SUMIF($C$3:AN$3,"="&amp;AN$3,$C$5:AN$5)</f>
        <v>834905</v>
      </c>
      <c r="AO14" s="117">
        <f>SUMIF($C$3:AO$3,"="&amp;AO$3,$C$5:AO$5)</f>
        <v>1231537</v>
      </c>
      <c r="AP14" s="117">
        <f>SUMIF($C$3:AP$3,"="&amp;AP$3,$C$5:AP$5)</f>
        <v>1705504</v>
      </c>
      <c r="AQ14" s="117">
        <f>SUMIF($C$3:AQ$3,"="&amp;AQ$3,$C$5:AQ$5)</f>
        <v>319736</v>
      </c>
      <c r="AR14" s="117">
        <f>SUMIF($C$3:AR$3,"="&amp;AR$3,$C$5:AR$5)</f>
        <v>319736</v>
      </c>
      <c r="AS14" s="117">
        <f>SUMIF($C$3:AS$3,"="&amp;AS$3,$C$5:AS$5)</f>
        <v>319736</v>
      </c>
    </row>
    <row r="15" spans="2:45">
      <c r="B15" s="112" t="s">
        <v>219</v>
      </c>
      <c r="C15" s="118" t="s">
        <v>174</v>
      </c>
      <c r="D15" s="118" t="s">
        <v>174</v>
      </c>
      <c r="E15" s="118" t="s">
        <v>174</v>
      </c>
      <c r="F15" s="118" t="s">
        <v>174</v>
      </c>
      <c r="G15" s="114">
        <f t="shared" ref="G15:AA15" si="98">G14/C14-1</f>
        <v>2.7575509500625817E-3</v>
      </c>
      <c r="H15" s="114">
        <f t="shared" si="98"/>
        <v>0.26455530574839159</v>
      </c>
      <c r="I15" s="114">
        <f t="shared" si="98"/>
        <v>0.41812000199504573</v>
      </c>
      <c r="J15" s="114">
        <f t="shared" si="98"/>
        <v>0.50057257371886621</v>
      </c>
      <c r="K15" s="114">
        <f t="shared" si="98"/>
        <v>0.71273885741294318</v>
      </c>
      <c r="L15" s="114">
        <f t="shared" si="98"/>
        <v>0.43479117779297005</v>
      </c>
      <c r="M15" s="114">
        <f t="shared" si="98"/>
        <v>0.26525085435265572</v>
      </c>
      <c r="N15" s="114">
        <f t="shared" si="98"/>
        <v>0.19590448026964302</v>
      </c>
      <c r="O15" s="114">
        <f t="shared" si="98"/>
        <v>3.0714203796089246E-2</v>
      </c>
      <c r="P15" s="114">
        <f t="shared" si="98"/>
        <v>0.48384751978548257</v>
      </c>
      <c r="Q15" s="114">
        <f t="shared" si="98"/>
        <v>0.14201197138727251</v>
      </c>
      <c r="R15" s="114">
        <f t="shared" si="98"/>
        <v>0.22185190109013564</v>
      </c>
      <c r="S15" s="114">
        <f t="shared" si="98"/>
        <v>0.5811421656919129</v>
      </c>
      <c r="T15" s="114">
        <f t="shared" si="98"/>
        <v>-9.7094746667849563E-2</v>
      </c>
      <c r="U15" s="114">
        <f t="shared" si="98"/>
        <v>0.19312376014701771</v>
      </c>
      <c r="V15" s="114">
        <f t="shared" si="98"/>
        <v>0.28821034581433325</v>
      </c>
      <c r="W15" s="114">
        <f t="shared" si="98"/>
        <v>0.55247654086957665</v>
      </c>
      <c r="X15" s="114">
        <f t="shared" si="98"/>
        <v>0.59929362435639599</v>
      </c>
      <c r="Y15" s="114">
        <f t="shared" si="98"/>
        <v>0.52942916538311668</v>
      </c>
      <c r="Z15" s="114">
        <f t="shared" si="98"/>
        <v>0.28810830054448422</v>
      </c>
      <c r="AA15" s="114">
        <f t="shared" si="98"/>
        <v>-0.22650658046640504</v>
      </c>
      <c r="AB15" s="114">
        <f t="shared" ref="AB15" si="99">AB14/X14-1</f>
        <v>-0.15248837201537269</v>
      </c>
      <c r="AC15" s="114">
        <f t="shared" ref="AC15" si="100">AC14/Y14-1</f>
        <v>-0.192470408919586</v>
      </c>
      <c r="AD15" s="114">
        <f t="shared" ref="AD15" si="101">AD14/Z14-1</f>
        <v>-0.24447789271933928</v>
      </c>
      <c r="AE15" s="114">
        <f t="shared" ref="AE15" si="102">AE14/AA14-1</f>
        <v>-0.107486493910814</v>
      </c>
      <c r="AF15" s="114">
        <f t="shared" ref="AF15" si="103">AF14/AB14-1</f>
        <v>-0.10754862231201334</v>
      </c>
      <c r="AG15" s="114">
        <f t="shared" ref="AG15" si="104">AG14/AC14-1</f>
        <v>-3.6354616497255576E-2</v>
      </c>
      <c r="AH15" s="114">
        <f t="shared" ref="AH15" si="105">AH14/AD14-1</f>
        <v>2.3487115174737561E-2</v>
      </c>
      <c r="AI15" s="114">
        <f t="shared" ref="AI15" si="106">AI14/AE14-1</f>
        <v>-0.19801911124699145</v>
      </c>
      <c r="AJ15" s="114">
        <f t="shared" ref="AJ15" si="107">AJ14/AF14-1</f>
        <v>0.22211372322927136</v>
      </c>
      <c r="AK15" s="114">
        <f t="shared" ref="AK15" si="108">AK14/AG14-1</f>
        <v>-5.997373963384045E-2</v>
      </c>
      <c r="AL15" s="114">
        <f t="shared" ref="AL15" si="109">AL14/AH14-1</f>
        <v>-6.6133860204021011E-2</v>
      </c>
      <c r="AM15" s="114">
        <f t="shared" ref="AM15" si="110">AM14/AI14-1</f>
        <v>-0.10088499197904066</v>
      </c>
      <c r="AN15" s="114">
        <f t="shared" ref="AN15" si="111">AN14/AJ14-1</f>
        <v>-0.39683166943481396</v>
      </c>
      <c r="AO15" s="114">
        <f t="shared" ref="AO15" si="112">AO14/AK14-1</f>
        <v>-0.25143720953414839</v>
      </c>
      <c r="AP15" s="114">
        <f t="shared" ref="AP15" si="113">AP14/AL14-1</f>
        <v>-0.22568530435422174</v>
      </c>
      <c r="AQ15" s="114">
        <f t="shared" ref="AQ15" si="114">AQ14/AM14-1</f>
        <v>-9.0159922599738151E-2</v>
      </c>
      <c r="AR15" s="114">
        <f t="shared" ref="AR15" si="115">AR14/AN14-1</f>
        <v>-0.61703906432468369</v>
      </c>
      <c r="AS15" s="114">
        <f t="shared" ref="AS15" si="116">AS14/AO14-1</f>
        <v>-0.74037645641178462</v>
      </c>
    </row>
    <row r="16" spans="2:45">
      <c r="B16" s="108" t="s">
        <v>117</v>
      </c>
      <c r="C16" s="117">
        <f>SUMIF($C$3:C$3,"="&amp;C$3,$C$7:C$7)</f>
        <v>41369</v>
      </c>
      <c r="D16" s="117">
        <f>SUMIF($C$3:D$3,"="&amp;D$3,$C$7:D$7)</f>
        <v>100464</v>
      </c>
      <c r="E16" s="117">
        <f>SUMIF($C$3:E$3,"="&amp;E$3,$C$7:E$7)</f>
        <v>157285</v>
      </c>
      <c r="F16" s="117">
        <f>SUMIF($C$3:F$3,"="&amp;F$3,$C$7:F$7)</f>
        <v>221613</v>
      </c>
      <c r="G16" s="117">
        <f>SUMIF($C$3:G$3,"="&amp;G$3,$C$7:G$7)</f>
        <v>43499</v>
      </c>
      <c r="H16" s="117">
        <f>SUMIF($C$3:H$3,"="&amp;H$3,$C$7:H$7)</f>
        <v>129847</v>
      </c>
      <c r="I16" s="117">
        <f>SUMIF($C$3:I$3,"="&amp;I$3,$C$7:I$7)</f>
        <v>221743</v>
      </c>
      <c r="J16" s="117">
        <f>SUMIF($C$3:J$3,"="&amp;J$3,$C$7:J$7)</f>
        <v>320420</v>
      </c>
      <c r="K16" s="117">
        <f>SUMIF($C$3:K$3,"="&amp;K$3,$C$7:K$7)</f>
        <v>46310</v>
      </c>
      <c r="L16" s="117">
        <f>SUMIF($C$3:L$3,"="&amp;L$3,$C$7:L$7)</f>
        <v>126774</v>
      </c>
      <c r="M16" s="117">
        <f>SUMIF($C$3:M$3,"="&amp;M$3,$C$7:M$7)</f>
        <v>196218</v>
      </c>
      <c r="N16" s="117">
        <f>SUMIF($C$3:N$3,"="&amp;N$3,$C$7:N$7)</f>
        <v>379916</v>
      </c>
      <c r="O16" s="117">
        <f>SUMIF($C$3:O$3,"="&amp;O$3,$C$7:O$7)</f>
        <v>66304</v>
      </c>
      <c r="P16" s="117">
        <f>SUMIF($C$3:P$3,"="&amp;P$3,$C$7:P$7)</f>
        <v>243919</v>
      </c>
      <c r="Q16" s="117">
        <f>SUMIF($C$3:Q$3,"="&amp;Q$3,$C$7:Q$7)</f>
        <v>294265</v>
      </c>
      <c r="R16" s="117">
        <f>SUMIF($C$3:R$3,"="&amp;R$3,$C$7:R$7)</f>
        <v>436479</v>
      </c>
      <c r="S16" s="117">
        <f>SUMIF($C$3:S$3,"="&amp;S$3,$C$7:S$7)</f>
        <v>106564</v>
      </c>
      <c r="T16" s="117">
        <f>SUMIF($C$3:T$3,"="&amp;T$3,$C$7:T$7)</f>
        <v>224537</v>
      </c>
      <c r="U16" s="117">
        <f>SUMIF($C$3:U$3,"="&amp;U$3,$C$7:U$7)</f>
        <v>359768</v>
      </c>
      <c r="V16" s="117">
        <f>SUMIF($C$3:V$3,"="&amp;V$3,$C$7:V$7)</f>
        <v>603097</v>
      </c>
      <c r="W16" s="117">
        <f>SUMIF($C$3:W$3,"="&amp;W$3,$C$7:W$7)</f>
        <v>189949</v>
      </c>
      <c r="X16" s="117">
        <f>SUMIF($C$3:X$3,"="&amp;X$3,$C$7:X$7)</f>
        <v>404028</v>
      </c>
      <c r="Y16" s="117">
        <f>SUMIF($C$3:Y$3,"="&amp;Y$3,$C$7:Y$7)</f>
        <v>606317</v>
      </c>
      <c r="Z16" s="117">
        <f>SUMIF($C$3:Z$3,"="&amp;Z$3,$C$7:Z$7)</f>
        <v>818034</v>
      </c>
      <c r="AA16" s="117">
        <f>SUMIF($C$3:AA$3,"="&amp;AA$3,$C$7:AA$7)</f>
        <v>158407</v>
      </c>
      <c r="AB16" s="117">
        <f>SUMIF($C$3:AB$3,"="&amp;AB$3,$C$7:AB$7)</f>
        <v>389766</v>
      </c>
      <c r="AC16" s="117">
        <f>SUMIF($C$3:AC$3,"="&amp;AC$3,$C$7:AC$7)</f>
        <v>545565</v>
      </c>
      <c r="AD16" s="117">
        <f>SUMIF($C$3:AD$3,"="&amp;AD$3,$C$7:AD$7)</f>
        <v>646600</v>
      </c>
      <c r="AE16" s="117">
        <f>SUMIF($C$3:AE$3,"="&amp;AE$3,$C$7:AE$7)</f>
        <v>98816</v>
      </c>
      <c r="AF16" s="117">
        <f>SUMIF($C$3:AF$3,"="&amp;AF$3,$C$7:AF$7)</f>
        <v>240753</v>
      </c>
      <c r="AG16" s="117">
        <f>SUMIF($C$3:AG$3,"="&amp;AG$3,$C$7:AG$7)</f>
        <v>399558</v>
      </c>
      <c r="AH16" s="117">
        <f>SUMIF($C$3:AH$3,"="&amp;AH$3,$C$7:AH$7)</f>
        <v>542187</v>
      </c>
      <c r="AI16" s="117">
        <f>SUMIF($C$3:AI$3,"="&amp;AI$3,$C$7:AI$7)</f>
        <v>91401</v>
      </c>
      <c r="AJ16" s="117">
        <f>SUMIF($C$3:AJ$3,"="&amp;AJ$3,$C$7:AJ$7)</f>
        <v>333686</v>
      </c>
      <c r="AK16" s="117">
        <f>SUMIF($C$3:AK$3,"="&amp;AK$3,$C$7:AK$7)</f>
        <v>405777</v>
      </c>
      <c r="AL16" s="117">
        <f>SUMIF($C$3:AL$3,"="&amp;AL$3,$C$7:AL$7)</f>
        <v>1669310</v>
      </c>
      <c r="AM16" s="117">
        <f>SUMIF($C$3:AM$3,"="&amp;AM$3,$C$7:AM$7)</f>
        <v>73713</v>
      </c>
      <c r="AN16" s="117">
        <f>SUMIF($C$3:AN$3,"="&amp;AN$3,$C$7:AN$7)</f>
        <v>184321</v>
      </c>
      <c r="AO16" s="117">
        <f>SUMIF($C$3:AO$3,"="&amp;AO$3,$C$7:AO$7)</f>
        <v>269433</v>
      </c>
      <c r="AP16" s="117">
        <f>SUMIF($C$3:AP$3,"="&amp;AP$3,$C$7:AP$7)</f>
        <v>353546</v>
      </c>
      <c r="AQ16" s="117">
        <f>SUMIF($C$3:AQ$3,"="&amp;AQ$3,$C$7:AQ$7)</f>
        <v>59929</v>
      </c>
      <c r="AR16" s="117">
        <f>SUMIF($C$3:AR$3,"="&amp;AR$3,$C$7:AR$7)</f>
        <v>59929</v>
      </c>
      <c r="AS16" s="117">
        <f>SUMIF($C$3:AS$3,"="&amp;AS$3,$C$7:AS$7)</f>
        <v>59929</v>
      </c>
    </row>
    <row r="17" spans="2:45">
      <c r="B17" s="112" t="s">
        <v>118</v>
      </c>
      <c r="C17" s="119">
        <f t="shared" ref="C17:J17" si="117">C16/C14</f>
        <v>0.25463644029717536</v>
      </c>
      <c r="D17" s="119">
        <f t="shared" si="117"/>
        <v>0.26081944826655173</v>
      </c>
      <c r="E17" s="119">
        <f t="shared" si="117"/>
        <v>0.26149229413622838</v>
      </c>
      <c r="F17" s="119">
        <f t="shared" si="117"/>
        <v>0.26435370741482966</v>
      </c>
      <c r="G17" s="119">
        <f t="shared" si="117"/>
        <v>0.26701082185978847</v>
      </c>
      <c r="H17" s="119">
        <f t="shared" si="117"/>
        <v>0.26657756590684661</v>
      </c>
      <c r="I17" s="119">
        <f t="shared" si="117"/>
        <v>0.25996119509721743</v>
      </c>
      <c r="J17" s="119">
        <f t="shared" si="117"/>
        <v>0.25471398136665713</v>
      </c>
      <c r="K17" s="119">
        <f t="shared" ref="K17" si="118">K16/K14</f>
        <v>0.16597138597396641</v>
      </c>
      <c r="L17" s="119">
        <f t="shared" ref="L17:M17" si="119">L16/L14</f>
        <v>0.18139828380344872</v>
      </c>
      <c r="M17" s="119">
        <f t="shared" si="119"/>
        <v>0.18181127460064489</v>
      </c>
      <c r="N17" s="119">
        <f t="shared" ref="N17:O17" si="120">N16/N14</f>
        <v>0.25253655942568465</v>
      </c>
      <c r="O17" s="119">
        <f t="shared" si="120"/>
        <v>0.23054722977530825</v>
      </c>
      <c r="P17" s="119">
        <f t="shared" ref="P17:Q17" si="121">P16/P14</f>
        <v>0.23521192496176538</v>
      </c>
      <c r="Q17" s="119">
        <f t="shared" si="121"/>
        <v>0.23875359532010013</v>
      </c>
      <c r="R17" s="119">
        <f t="shared" ref="R17:S17" si="122">R16/R14</f>
        <v>0.23745507721333467</v>
      </c>
      <c r="S17" s="119">
        <f t="shared" si="122"/>
        <v>0.23434720172762999</v>
      </c>
      <c r="T17" s="119">
        <f t="shared" ref="T17:U17" si="123">T16/T14</f>
        <v>0.23980566659795863</v>
      </c>
      <c r="U17" s="119">
        <f t="shared" si="123"/>
        <v>0.24465176184657106</v>
      </c>
      <c r="V17" s="119">
        <f t="shared" ref="V17:W17" si="124">V16/V14</f>
        <v>0.25469386962193546</v>
      </c>
      <c r="W17" s="119">
        <f t="shared" si="124"/>
        <v>0.26906748749562648</v>
      </c>
      <c r="X17" s="119">
        <f t="shared" ref="X17:Y17" si="125">X16/X14</f>
        <v>0.26980797547855878</v>
      </c>
      <c r="Y17" s="119">
        <f t="shared" si="125"/>
        <v>0.2695852913622635</v>
      </c>
      <c r="Z17" s="119">
        <f t="shared" ref="Z17:AA17" si="126">Z16/Z14</f>
        <v>0.26819476687860166</v>
      </c>
      <c r="AA17" s="119">
        <f t="shared" si="126"/>
        <v>0.29009614504166287</v>
      </c>
      <c r="AB17" s="119">
        <f t="shared" ref="AB17:AC17" si="127">AB16/AB14</f>
        <v>0.30711540840535834</v>
      </c>
      <c r="AC17" s="119">
        <f t="shared" si="127"/>
        <v>0.3003893308695717</v>
      </c>
      <c r="AD17" s="119">
        <f t="shared" ref="AD17:AS17" si="128">AD16/AD14</f>
        <v>0.28058695005977552</v>
      </c>
      <c r="AE17" s="119">
        <f t="shared" si="128"/>
        <v>0.20275896314200884</v>
      </c>
      <c r="AF17" s="119">
        <f t="shared" si="128"/>
        <v>0.2125615935343233</v>
      </c>
      <c r="AG17" s="119">
        <f t="shared" si="128"/>
        <v>0.22829720152259841</v>
      </c>
      <c r="AH17" s="119">
        <f t="shared" si="128"/>
        <v>0.2298785710045875</v>
      </c>
      <c r="AI17" s="119">
        <f t="shared" si="128"/>
        <v>0.23385126301327105</v>
      </c>
      <c r="AJ17" s="119">
        <f t="shared" si="128"/>
        <v>0.24106793893074624</v>
      </c>
      <c r="AK17" s="119">
        <f t="shared" si="128"/>
        <v>0.24664266150904265</v>
      </c>
      <c r="AL17" s="119">
        <f t="shared" si="128"/>
        <v>0.75788228264985258</v>
      </c>
      <c r="AM17" s="119">
        <f t="shared" si="128"/>
        <v>0.20975755506231861</v>
      </c>
      <c r="AN17" s="119">
        <f t="shared" si="128"/>
        <v>0.22076882998664518</v>
      </c>
      <c r="AO17" s="119">
        <f t="shared" si="128"/>
        <v>0.21877783615108601</v>
      </c>
      <c r="AP17" s="119">
        <f t="shared" si="128"/>
        <v>0.20729708051109819</v>
      </c>
      <c r="AQ17" s="119">
        <f t="shared" si="128"/>
        <v>0.18743275702454526</v>
      </c>
      <c r="AR17" s="119">
        <f t="shared" si="128"/>
        <v>0.18743275702454526</v>
      </c>
      <c r="AS17" s="119">
        <f t="shared" si="128"/>
        <v>0.18743275702454526</v>
      </c>
    </row>
    <row r="18" spans="2:45">
      <c r="B18" s="108" t="s">
        <v>119</v>
      </c>
      <c r="C18" s="117">
        <f>SUMIF($C$3:C$3,"="&amp;C$3,$C$9:C$9)</f>
        <v>24043</v>
      </c>
      <c r="D18" s="117">
        <f>SUMIF($C$3:D$3,"="&amp;D$3,$C$9:D$9)</f>
        <v>52398</v>
      </c>
      <c r="E18" s="117">
        <f>SUMIF($C$3:E$3,"="&amp;E$3,$C$9:E$9)</f>
        <v>80120</v>
      </c>
      <c r="F18" s="117">
        <f>SUMIF($C$3:F$3,"="&amp;F$3,$C$9:F$9)</f>
        <v>95803</v>
      </c>
      <c r="G18" s="117">
        <f>SUMIF($C$3:G$3,"="&amp;G$3,$C$9:G$9)</f>
        <v>27372</v>
      </c>
      <c r="H18" s="117">
        <f>SUMIF($C$3:H$3,"="&amp;H$3,$C$9:H$9)</f>
        <v>65245</v>
      </c>
      <c r="I18" s="117">
        <f>SUMIF($C$3:I$3,"="&amp;I$3,$C$9:I$9)</f>
        <v>93422</v>
      </c>
      <c r="J18" s="117">
        <f>SUMIF($C$3:J$3,"="&amp;J$3,$C$9:J$9)</f>
        <v>150619</v>
      </c>
      <c r="K18" s="117">
        <f>SUMIF($C$3:K$3,"="&amp;K$3,$C$9:K$9)</f>
        <v>15440</v>
      </c>
      <c r="L18" s="117">
        <f>SUMIF($C$3:L$3,"="&amp;L$3,$C$9:L$9)</f>
        <v>33742</v>
      </c>
      <c r="M18" s="117">
        <f>SUMIF($C$3:M$3,"="&amp;M$3,$C$9:M$9)</f>
        <v>51536</v>
      </c>
      <c r="N18" s="117">
        <f>SUMIF($C$3:N$3,"="&amp;N$3,$C$9:N$9)</f>
        <v>179805</v>
      </c>
      <c r="O18" s="117">
        <f>SUMIF($C$3:O$3,"="&amp;O$3,$C$9:O$9)</f>
        <v>45229</v>
      </c>
      <c r="P18" s="117">
        <f>SUMIF($C$3:P$3,"="&amp;P$3,$C$9:P$9)</f>
        <v>143328</v>
      </c>
      <c r="Q18" s="117">
        <f>SUMIF($C$3:Q$3,"="&amp;Q$3,$C$9:Q$9)</f>
        <v>150724</v>
      </c>
      <c r="R18" s="117">
        <f>SUMIF($C$3:R$3,"="&amp;R$3,$C$9:R$9)</f>
        <v>208941</v>
      </c>
      <c r="S18" s="117">
        <f>SUMIF($C$3:S$3,"="&amp;S$3,$C$9:S$9)</f>
        <v>52686</v>
      </c>
      <c r="T18" s="117">
        <f>SUMIF($C$3:T$3,"="&amp;T$3,$C$9:T$9)</f>
        <v>102825</v>
      </c>
      <c r="U18" s="117">
        <f>SUMIF($C$3:U$3,"="&amp;U$3,$C$9:U$9)</f>
        <v>160615</v>
      </c>
      <c r="V18" s="117">
        <f>SUMIF($C$3:V$3,"="&amp;V$3,$C$9:V$9)</f>
        <v>238387</v>
      </c>
      <c r="W18" s="117">
        <f>SUMIF($C$3:W$3,"="&amp;W$3,$C$9:W$9)</f>
        <v>67506</v>
      </c>
      <c r="X18" s="117">
        <f>SUMIF($C$3:X$3,"="&amp;X$3,$C$9:X$9)</f>
        <v>90782</v>
      </c>
      <c r="Y18" s="117">
        <f>SUMIF($C$3:Y$3,"="&amp;Y$3,$C$9:Y$9)</f>
        <v>115262</v>
      </c>
      <c r="Z18" s="117">
        <f>SUMIF($C$3:Z$3,"="&amp;Z$3,$C$9:Z$9)</f>
        <v>270336</v>
      </c>
      <c r="AA18" s="117">
        <f>SUMIF($C$3:AA$3,"="&amp;AA$3,$C$9:AA$9)</f>
        <v>62687</v>
      </c>
      <c r="AB18" s="117">
        <f>SUMIF($C$3:AB$3,"="&amp;AB$3,$C$9:AB$9)</f>
        <v>135040</v>
      </c>
      <c r="AC18" s="117">
        <f>SUMIF($C$3:AC$3,"="&amp;AC$3,$C$9:AC$9)</f>
        <v>196262</v>
      </c>
      <c r="AD18" s="117">
        <f>SUMIF($C$3:AD$3,"="&amp;AD$3,$C$9:AD$9)</f>
        <v>256493</v>
      </c>
      <c r="AE18" s="117">
        <f>SUMIF($C$3:AE$3,"="&amp;AE$3,$C$9:AE$9)</f>
        <v>72765</v>
      </c>
      <c r="AF18" s="117">
        <f>SUMIF($C$3:AF$3,"="&amp;AF$3,$C$9:AF$9)</f>
        <v>149616</v>
      </c>
      <c r="AG18" s="117">
        <f>SUMIF($C$3:AG$3,"="&amp;AG$3,$C$9:AG$9)</f>
        <v>226145</v>
      </c>
      <c r="AH18" s="117">
        <f>SUMIF($C$3:AH$3,"="&amp;AH$3,$C$9:AH$9)</f>
        <v>308932</v>
      </c>
      <c r="AI18" s="117">
        <f>SUMIF($C$3:AI$3,"="&amp;AI$3,$C$9:AI$9)</f>
        <v>72668</v>
      </c>
      <c r="AJ18" s="117">
        <f>SUMIF($C$3:AJ$3,"="&amp;AJ$3,$C$9:AJ$9)</f>
        <v>228699</v>
      </c>
      <c r="AK18" s="117">
        <f>SUMIF($C$3:AK$3,"="&amp;AK$3,$C$9:AK$9)</f>
        <v>239218</v>
      </c>
      <c r="AL18" s="117">
        <f>SUMIF($C$3:AL$3,"="&amp;AL$3,$C$9:AL$9)</f>
        <v>321142</v>
      </c>
      <c r="AM18" s="117">
        <f>SUMIF($C$3:AM$3,"="&amp;AM$3,$C$9:AM$9)</f>
        <v>73544</v>
      </c>
      <c r="AN18" s="117">
        <f>SUMIF($C$3:AN$3,"="&amp;AN$3,$C$9:AN$9)</f>
        <v>144544</v>
      </c>
      <c r="AO18" s="117">
        <f>SUMIF($C$3:AO$3,"="&amp;AO$3,$C$9:AO$9)</f>
        <v>208172</v>
      </c>
      <c r="AP18" s="117">
        <f>SUMIF($C$3:AP$3,"="&amp;AP$3,$C$9:AP$9)</f>
        <v>273770</v>
      </c>
      <c r="AQ18" s="117">
        <f>SUMIF($C$3:AQ$3,"="&amp;AQ$3,$C$9:AQ$9)</f>
        <v>60511</v>
      </c>
      <c r="AR18" s="117">
        <f>SUMIF($C$3:AR$3,"="&amp;AR$3,$C$9:AR$9)</f>
        <v>60511</v>
      </c>
      <c r="AS18" s="117">
        <f>SUMIF($C$3:AS$3,"="&amp;AS$3,$C$9:AS$9)</f>
        <v>60511</v>
      </c>
    </row>
    <row r="19" spans="2:45">
      <c r="B19" s="108" t="s">
        <v>121</v>
      </c>
      <c r="C19" s="117">
        <f>SUMIF($C$3:C$3,"="&amp;C$3,$C$10:C$10)</f>
        <v>11700</v>
      </c>
      <c r="D19" s="117">
        <f>SUMIF($C$3:D$3,"="&amp;D$3,$C$10:D$10)</f>
        <v>32359</v>
      </c>
      <c r="E19" s="117">
        <f>SUMIF($C$3:E$3,"="&amp;E$3,$C$10:E$10)</f>
        <v>51826</v>
      </c>
      <c r="F19" s="117">
        <f>SUMIF($C$3:F$3,"="&amp;F$3,$C$10:F$10)</f>
        <v>75031</v>
      </c>
      <c r="G19" s="117">
        <f>SUMIF($C$3:G$3,"="&amp;G$3,$C$10:G$10)</f>
        <v>11780</v>
      </c>
      <c r="H19" s="117">
        <f>SUMIF($C$3:H$3,"="&amp;H$3,$C$10:H$10)</f>
        <v>43979</v>
      </c>
      <c r="I19" s="117">
        <f>SUMIF($C$3:I$3,"="&amp;I$3,$C$10:I$10)</f>
        <v>77666</v>
      </c>
      <c r="J19" s="117">
        <f>SUMIF($C$3:J$3,"="&amp;J$3,$C$10:J$10)</f>
        <v>113306</v>
      </c>
      <c r="K19" s="117">
        <f>SUMIF($C$3:K$3,"="&amp;K$3,$C$10:K$10)</f>
        <v>27302</v>
      </c>
      <c r="L19" s="117">
        <f>SUMIF($C$3:L$3,"="&amp;L$3,$C$10:L$10)</f>
        <v>74910</v>
      </c>
      <c r="M19" s="117">
        <f>SUMIF($C$3:M$3,"="&amp;M$3,$C$10:M$10)</f>
        <v>112633</v>
      </c>
      <c r="N19" s="117">
        <f>SUMIF($C$3:N$3,"="&amp;N$3,$C$10:N$10)</f>
        <v>155286</v>
      </c>
      <c r="O19" s="117">
        <f>SUMIF($C$3:O$3,"="&amp;O$3,$C$10:O$10)</f>
        <v>18334</v>
      </c>
      <c r="P19" s="117">
        <f>SUMIF($C$3:P$3,"="&amp;P$3,$C$10:P$10)</f>
        <v>82723</v>
      </c>
      <c r="Q19" s="117">
        <f>SUMIF($C$3:Q$3,"="&amp;Q$3,$C$10:Q$10)</f>
        <v>113738</v>
      </c>
      <c r="R19" s="117">
        <f>SUMIF($C$3:R$3,"="&amp;R$3,$C$10:R$10)</f>
        <v>178608</v>
      </c>
      <c r="S19" s="117">
        <f>SUMIF($C$3:S$3,"="&amp;S$3,$C$10:S$10)</f>
        <v>42839</v>
      </c>
      <c r="T19" s="117">
        <f>SUMIF($C$3:T$3,"="&amp;T$3,$C$10:T$10)</f>
        <v>98463</v>
      </c>
      <c r="U19" s="117">
        <f>SUMIF($C$3:U$3,"="&amp;U$3,$C$10:U$10)</f>
        <v>187467</v>
      </c>
      <c r="V19" s="117">
        <f>SUMIF($C$3:V$3,"="&amp;V$3,$C$10:V$10)</f>
        <v>325895</v>
      </c>
      <c r="W19" s="117">
        <f>SUMIF($C$3:W$3,"="&amp;W$3,$C$10:W$10)</f>
        <v>99658</v>
      </c>
      <c r="X19" s="117">
        <f>SUMIF($C$3:X$3,"="&amp;X$3,$C$10:X$10)</f>
        <v>217792</v>
      </c>
      <c r="Y19" s="117">
        <f>SUMIF($C$3:Y$3,"="&amp;Y$3,$C$10:Y$10)</f>
        <v>318342</v>
      </c>
      <c r="Z19" s="117">
        <f>SUMIF($C$3:Z$3,"="&amp;Z$3,$C$10:Z$10)</f>
        <v>429645</v>
      </c>
      <c r="AA19" s="117">
        <f>SUMIF($C$3:AA$3,"="&amp;AA$3,$C$10:AA$10)</f>
        <v>78686</v>
      </c>
      <c r="AB19" s="117">
        <f>SUMIF($C$3:AB$3,"="&amp;AB$3,$C$10:AB$10)</f>
        <v>202062</v>
      </c>
      <c r="AC19" s="117">
        <f>SUMIF($C$3:AC$3,"="&amp;AC$3,$C$10:AC$10)</f>
        <v>292452</v>
      </c>
      <c r="AD19" s="117">
        <f>SUMIF($C$3:AD$3,"="&amp;AD$3,$C$10:AD$10)</f>
        <v>326567</v>
      </c>
      <c r="AE19" s="117">
        <f>SUMIF($C$3:AE$3,"="&amp;AE$3,$C$10:AE$10)</f>
        <v>26962</v>
      </c>
      <c r="AF19" s="117">
        <f>SUMIF($C$3:AF$3,"="&amp;AF$3,$C$10:AF$10)</f>
        <v>80096</v>
      </c>
      <c r="AG19" s="117">
        <f>SUMIF($C$3:AG$3,"="&amp;AG$3,$C$10:AG$10)</f>
        <v>147138</v>
      </c>
      <c r="AH19" s="117">
        <f>SUMIF($C$3:AH$3,"="&amp;AH$3,$C$10:AH$10)</f>
        <v>199227</v>
      </c>
      <c r="AI19" s="117">
        <f>SUMIF($C$3:AI$3,"="&amp;AI$3,$C$10:AI$10)</f>
        <v>17053</v>
      </c>
      <c r="AJ19" s="117">
        <f>SUMIF($C$3:AJ$3,"="&amp;AJ$3,$C$10:AJ$10)</f>
        <v>117030</v>
      </c>
      <c r="AK19" s="117">
        <f>SUMIF($C$3:AK$3,"="&amp;AK$3,$C$10:AK$10)</f>
        <v>145201</v>
      </c>
      <c r="AL19" s="117">
        <f>SUMIF($C$3:AL$3,"="&amp;AL$3,$C$10:AL$10)</f>
        <v>196071</v>
      </c>
      <c r="AM19" s="117">
        <f>SUMIF($C$3:AM$3,"="&amp;AM$3,$C$10:AM$10)</f>
        <v>5724</v>
      </c>
      <c r="AN19" s="117">
        <f>SUMIF($C$3:AN$3,"="&amp;AN$3,$C$10:AN$10)</f>
        <v>47764</v>
      </c>
      <c r="AO19" s="117">
        <f>SUMIF($C$3:AO$3,"="&amp;AO$3,$C$10:AO$10)</f>
        <v>74465</v>
      </c>
      <c r="AP19" s="117">
        <f>SUMIF($C$3:AP$3,"="&amp;AP$3,$C$10:AP$10)</f>
        <v>98486</v>
      </c>
      <c r="AQ19" s="117">
        <f>SUMIF($C$3:AQ$3,"="&amp;AQ$3,$C$10:AQ$10)</f>
        <v>4319</v>
      </c>
      <c r="AR19" s="117">
        <f>SUMIF($C$3:AR$3,"="&amp;AR$3,$C$10:AR$10)</f>
        <v>4319</v>
      </c>
      <c r="AS19" s="117">
        <f>SUMIF($C$3:AS$3,"="&amp;AS$3,$C$10:AS$10)</f>
        <v>4319</v>
      </c>
    </row>
    <row r="20" spans="2:45">
      <c r="B20" s="120" t="s">
        <v>220</v>
      </c>
      <c r="C20" s="121">
        <f t="shared" ref="C20:J20" si="129">C19/C14</f>
        <v>7.2016397579756627E-2</v>
      </c>
      <c r="D20" s="121">
        <f t="shared" si="129"/>
        <v>8.4008764596844115E-2</v>
      </c>
      <c r="E20" s="121">
        <f t="shared" si="129"/>
        <v>8.6162695971670353E-2</v>
      </c>
      <c r="F20" s="121">
        <f t="shared" si="129"/>
        <v>8.9501622292203459E-2</v>
      </c>
      <c r="G20" s="121">
        <f t="shared" si="129"/>
        <v>7.23094204811216E-2</v>
      </c>
      <c r="H20" s="121">
        <f t="shared" si="129"/>
        <v>9.0289454288641297E-2</v>
      </c>
      <c r="I20" s="121">
        <f t="shared" si="129"/>
        <v>9.1052011465617796E-2</v>
      </c>
      <c r="J20" s="121">
        <f t="shared" si="129"/>
        <v>9.0071226430093174E-2</v>
      </c>
      <c r="K20" s="121">
        <f t="shared" ref="K20" si="130">K19/K14</f>
        <v>9.7848213773725559E-2</v>
      </c>
      <c r="L20" s="121">
        <f t="shared" ref="L20:M20" si="131">L19/L14</f>
        <v>0.10718716329623064</v>
      </c>
      <c r="M20" s="121">
        <f t="shared" si="131"/>
        <v>0.10436325562432823</v>
      </c>
      <c r="N20" s="121">
        <f t="shared" ref="N20:O20" si="132">N19/N14</f>
        <v>0.10322121776123372</v>
      </c>
      <c r="O20" s="121">
        <f t="shared" si="132"/>
        <v>6.3749591437929853E-2</v>
      </c>
      <c r="P20" s="121">
        <f t="shared" ref="P20:Q20" si="133">P19/P14</f>
        <v>7.9770071493455275E-2</v>
      </c>
      <c r="Q20" s="121">
        <f t="shared" si="133"/>
        <v>9.2281978572095039E-2</v>
      </c>
      <c r="R20" s="121">
        <f t="shared" ref="R20:S20" si="134">R19/R14</f>
        <v>9.7167049115580092E-2</v>
      </c>
      <c r="S20" s="121">
        <f t="shared" si="134"/>
        <v>9.4208173255601713E-2</v>
      </c>
      <c r="T20" s="121">
        <f t="shared" ref="T20:U20" si="135">T19/T14</f>
        <v>0.10515855003956942</v>
      </c>
      <c r="U20" s="121">
        <f t="shared" si="135"/>
        <v>0.12748252161974144</v>
      </c>
      <c r="V20" s="121">
        <f t="shared" ref="V20:W20" si="136">V19/V14</f>
        <v>0.13762870423902068</v>
      </c>
      <c r="W20" s="121">
        <f t="shared" si="136"/>
        <v>0.14116803809885362</v>
      </c>
      <c r="X20" s="121">
        <f t="shared" ref="X20:Y20" si="137">X19/X14</f>
        <v>0.14544046104583414</v>
      </c>
      <c r="Y20" s="121">
        <f t="shared" si="137"/>
        <v>0.14154364931685187</v>
      </c>
      <c r="Z20" s="121">
        <f t="shared" ref="Z20:AA20" si="138">Z19/Z14</f>
        <v>0.14086033174117069</v>
      </c>
      <c r="AA20" s="121">
        <f t="shared" si="138"/>
        <v>0.14410035711015476</v>
      </c>
      <c r="AB20" s="121">
        <f t="shared" ref="AB20:AC20" si="139">AB19/AB14</f>
        <v>0.15921438415152558</v>
      </c>
      <c r="AC20" s="121">
        <f t="shared" si="139"/>
        <v>0.16102473690846733</v>
      </c>
      <c r="AD20" s="121">
        <f t="shared" ref="AD20:AS20" si="140">AD19/AD14</f>
        <v>0.14171116381096616</v>
      </c>
      <c r="AE20" s="121">
        <f t="shared" si="140"/>
        <v>5.5322894715783298E-2</v>
      </c>
      <c r="AF20" s="121">
        <f t="shared" si="140"/>
        <v>7.0717014515811472E-2</v>
      </c>
      <c r="AG20" s="121">
        <f t="shared" si="140"/>
        <v>8.4070882419153378E-2</v>
      </c>
      <c r="AH20" s="121">
        <f t="shared" si="140"/>
        <v>8.4469044933816115E-2</v>
      </c>
      <c r="AI20" s="121">
        <f t="shared" si="140"/>
        <v>4.3630437174268455E-2</v>
      </c>
      <c r="AJ20" s="121">
        <f t="shared" si="140"/>
        <v>8.454709185601203E-2</v>
      </c>
      <c r="AK20" s="121">
        <f t="shared" si="140"/>
        <v>8.8257247438308484E-2</v>
      </c>
      <c r="AL20" s="121">
        <f t="shared" si="140"/>
        <v>8.9018059582365916E-2</v>
      </c>
      <c r="AM20" s="121">
        <f t="shared" si="140"/>
        <v>1.6288202151271983E-2</v>
      </c>
      <c r="AN20" s="121">
        <f t="shared" si="140"/>
        <v>5.7208904007042718E-2</v>
      </c>
      <c r="AO20" s="121">
        <f t="shared" si="140"/>
        <v>6.0465093618786929E-2</v>
      </c>
      <c r="AP20" s="121">
        <f t="shared" si="140"/>
        <v>5.7745980073925361E-2</v>
      </c>
      <c r="AQ20" s="121">
        <f t="shared" si="140"/>
        <v>1.3508019115770511E-2</v>
      </c>
      <c r="AR20" s="121">
        <f t="shared" si="140"/>
        <v>1.3508019115770511E-2</v>
      </c>
      <c r="AS20" s="121">
        <f t="shared" si="140"/>
        <v>1.3508019115770511E-2</v>
      </c>
    </row>
    <row r="21" spans="2:45">
      <c r="D21" s="396"/>
    </row>
    <row r="22" spans="2:45">
      <c r="B22" s="246" t="s">
        <v>222</v>
      </c>
      <c r="C22" s="383">
        <f t="shared" ref="C22:N22" si="141">C13</f>
        <v>42460</v>
      </c>
      <c r="D22" s="383">
        <f t="shared" si="141"/>
        <v>42551</v>
      </c>
      <c r="E22" s="383">
        <f t="shared" si="141"/>
        <v>42643</v>
      </c>
      <c r="F22" s="383">
        <f t="shared" si="141"/>
        <v>42735</v>
      </c>
      <c r="G22" s="383">
        <f t="shared" si="141"/>
        <v>42825</v>
      </c>
      <c r="H22" s="383">
        <f t="shared" si="141"/>
        <v>42916</v>
      </c>
      <c r="I22" s="383">
        <f t="shared" si="141"/>
        <v>43008</v>
      </c>
      <c r="J22" s="383">
        <f t="shared" si="141"/>
        <v>43100</v>
      </c>
      <c r="K22" s="383">
        <f t="shared" si="141"/>
        <v>43190</v>
      </c>
      <c r="L22" s="383">
        <f t="shared" si="141"/>
        <v>43281</v>
      </c>
      <c r="M22" s="383">
        <f t="shared" si="141"/>
        <v>43373</v>
      </c>
      <c r="N22" s="383">
        <f t="shared" si="141"/>
        <v>43465</v>
      </c>
      <c r="O22" s="395">
        <f t="shared" ref="O22" si="142">EOMONTH(N22,3)</f>
        <v>43555</v>
      </c>
      <c r="P22" s="395">
        <f t="shared" ref="P22" si="143">EOMONTH(O22,3)</f>
        <v>43646</v>
      </c>
      <c r="Q22" s="395">
        <f t="shared" ref="Q22" si="144">EOMONTH(P22,3)</f>
        <v>43738</v>
      </c>
      <c r="R22" s="395">
        <f t="shared" ref="R22" si="145">EOMONTH(Q22,3)</f>
        <v>43830</v>
      </c>
      <c r="S22" s="395">
        <f t="shared" ref="S22" si="146">EOMONTH(R22,3)</f>
        <v>43921</v>
      </c>
      <c r="T22" s="395">
        <f t="shared" ref="T22" si="147">EOMONTH(S22,3)</f>
        <v>44012</v>
      </c>
      <c r="U22" s="395">
        <f t="shared" ref="U22" si="148">EOMONTH(T22,3)</f>
        <v>44104</v>
      </c>
      <c r="V22" s="395">
        <f t="shared" ref="V22" si="149">EOMONTH(U22,3)</f>
        <v>44196</v>
      </c>
      <c r="W22" s="395">
        <f t="shared" ref="W22" si="150">EOMONTH(V22,3)</f>
        <v>44286</v>
      </c>
      <c r="X22" s="395">
        <f t="shared" ref="X22:Z22" si="151">EOMONTH(W22,3)</f>
        <v>44377</v>
      </c>
      <c r="Y22" s="395">
        <f t="shared" ref="Y22:AA22" si="152">EOMONTH(X22,3)</f>
        <v>44469</v>
      </c>
      <c r="Z22" s="395">
        <f t="shared" si="151"/>
        <v>44561</v>
      </c>
      <c r="AA22" s="395">
        <f t="shared" si="152"/>
        <v>44651</v>
      </c>
      <c r="AB22" s="395">
        <f t="shared" ref="AB22" si="153">EOMONTH(AA22,3)</f>
        <v>44742</v>
      </c>
      <c r="AC22" s="395">
        <f t="shared" ref="AC22" si="154">EOMONTH(AB22,3)</f>
        <v>44834</v>
      </c>
      <c r="AD22" s="395">
        <f t="shared" ref="AD22" si="155">EOMONTH(AC22,3)</f>
        <v>44926</v>
      </c>
      <c r="AE22" s="395">
        <f t="shared" ref="AE22" si="156">EOMONTH(AD22,3)</f>
        <v>45016</v>
      </c>
      <c r="AF22" s="395">
        <f t="shared" ref="AF22" si="157">EOMONTH(AE22,3)</f>
        <v>45107</v>
      </c>
      <c r="AG22" s="395">
        <f t="shared" ref="AG22" si="158">EOMONTH(AF22,3)</f>
        <v>45199</v>
      </c>
      <c r="AH22" s="395">
        <f t="shared" ref="AH22" si="159">EOMONTH(AG22,3)</f>
        <v>45291</v>
      </c>
      <c r="AI22" s="395">
        <f t="shared" ref="AI22" si="160">EOMONTH(AH22,3)</f>
        <v>45382</v>
      </c>
      <c r="AJ22" s="395">
        <f t="shared" ref="AJ22" si="161">EOMONTH(AI22,3)</f>
        <v>45473</v>
      </c>
      <c r="AK22" s="395">
        <f t="shared" ref="AK22" si="162">EOMONTH(AJ22,3)</f>
        <v>45565</v>
      </c>
      <c r="AL22" s="395">
        <f t="shared" ref="AL22" si="163">EOMONTH(AK22,3)</f>
        <v>45657</v>
      </c>
      <c r="AM22" s="395">
        <f t="shared" ref="AM22" si="164">EOMONTH(AL22,3)</f>
        <v>45747</v>
      </c>
      <c r="AN22" s="395">
        <f t="shared" ref="AN22" si="165">EOMONTH(AM22,3)</f>
        <v>45838</v>
      </c>
      <c r="AO22" s="395">
        <f t="shared" ref="AO22" si="166">EOMONTH(AN22,3)</f>
        <v>45930</v>
      </c>
      <c r="AP22" s="395">
        <f t="shared" ref="AP22" si="167">EOMONTH(AO22,3)</f>
        <v>46022</v>
      </c>
      <c r="AQ22" s="395">
        <f t="shared" ref="AQ22" si="168">EOMONTH(AP22,3)</f>
        <v>46112</v>
      </c>
      <c r="AR22" s="395">
        <f t="shared" ref="AR22" si="169">EOMONTH(AQ22,3)</f>
        <v>46203</v>
      </c>
      <c r="AS22" s="395">
        <f t="shared" ref="AS22" si="170">EOMONTH(AR22,3)</f>
        <v>46295</v>
      </c>
    </row>
    <row r="23" spans="2:45">
      <c r="B23" s="108" t="s">
        <v>115</v>
      </c>
      <c r="C23" s="122" t="s">
        <v>174</v>
      </c>
      <c r="D23" s="122" t="s">
        <v>174</v>
      </c>
      <c r="E23" s="122" t="s">
        <v>174</v>
      </c>
      <c r="F23" s="470">
        <f t="shared" ref="F23:AS23" si="171">SUM(C5:F5)</f>
        <v>838320</v>
      </c>
      <c r="G23" s="470">
        <f t="shared" si="171"/>
        <v>838768</v>
      </c>
      <c r="H23" s="470">
        <f t="shared" si="171"/>
        <v>940223</v>
      </c>
      <c r="I23" s="470">
        <f t="shared" si="171"/>
        <v>1089815</v>
      </c>
      <c r="J23" s="470">
        <f t="shared" si="171"/>
        <v>1257960</v>
      </c>
      <c r="K23" s="470">
        <f t="shared" si="171"/>
        <v>1374073</v>
      </c>
      <c r="L23" s="470">
        <f t="shared" si="171"/>
        <v>1469742</v>
      </c>
      <c r="M23" s="470">
        <f t="shared" si="171"/>
        <v>1484215</v>
      </c>
      <c r="N23" s="470">
        <f t="shared" si="171"/>
        <v>1504400</v>
      </c>
      <c r="O23" s="470">
        <f t="shared" si="171"/>
        <v>1512970</v>
      </c>
      <c r="P23" s="470">
        <f t="shared" si="171"/>
        <v>1842547</v>
      </c>
      <c r="Q23" s="470">
        <f t="shared" si="171"/>
        <v>1657665</v>
      </c>
      <c r="R23" s="470">
        <f t="shared" si="171"/>
        <v>1838154</v>
      </c>
      <c r="S23" s="470">
        <f t="shared" si="171"/>
        <v>2005287</v>
      </c>
      <c r="T23" s="470">
        <f t="shared" si="171"/>
        <v>1737465</v>
      </c>
      <c r="U23" s="470">
        <f t="shared" si="171"/>
        <v>2076180</v>
      </c>
      <c r="V23" s="470">
        <f t="shared" si="171"/>
        <v>2367929</v>
      </c>
      <c r="W23" s="470">
        <f t="shared" si="171"/>
        <v>2619155</v>
      </c>
      <c r="X23" s="470">
        <f t="shared" si="171"/>
        <v>2929065</v>
      </c>
      <c r="Y23" s="470">
        <f t="shared" si="171"/>
        <v>3146471</v>
      </c>
      <c r="Z23" s="470">
        <f t="shared" si="171"/>
        <v>3050149</v>
      </c>
      <c r="AA23" s="470">
        <f t="shared" si="171"/>
        <v>2890246</v>
      </c>
      <c r="AB23" s="470">
        <f t="shared" si="171"/>
        <v>2821803</v>
      </c>
      <c r="AC23" s="470">
        <f t="shared" si="171"/>
        <v>2617269</v>
      </c>
      <c r="AD23" s="470">
        <f t="shared" si="171"/>
        <v>2304455</v>
      </c>
      <c r="AE23" s="470">
        <f t="shared" si="171"/>
        <v>2245762</v>
      </c>
      <c r="AF23" s="470">
        <f t="shared" si="171"/>
        <v>2167963</v>
      </c>
      <c r="AG23" s="470">
        <f t="shared" si="171"/>
        <v>2238428</v>
      </c>
      <c r="AH23" s="470">
        <f t="shared" si="171"/>
        <v>2358580</v>
      </c>
      <c r="AI23" s="470">
        <f t="shared" si="171"/>
        <v>2262074</v>
      </c>
      <c r="AJ23" s="470">
        <f t="shared" si="171"/>
        <v>2610152</v>
      </c>
      <c r="AK23" s="470">
        <f t="shared" si="171"/>
        <v>2253616</v>
      </c>
      <c r="AL23" s="470">
        <f t="shared" si="171"/>
        <v>2202598</v>
      </c>
      <c r="AM23" s="470">
        <f t="shared" si="171"/>
        <v>2163167</v>
      </c>
      <c r="AN23" s="470">
        <f t="shared" si="171"/>
        <v>1653304</v>
      </c>
      <c r="AO23" s="470">
        <f t="shared" si="171"/>
        <v>1788933</v>
      </c>
      <c r="AP23" s="470">
        <f t="shared" si="171"/>
        <v>1705504</v>
      </c>
      <c r="AQ23" s="470">
        <f t="shared" si="171"/>
        <v>1673820</v>
      </c>
      <c r="AR23" s="470">
        <f t="shared" si="171"/>
        <v>1190335</v>
      </c>
      <c r="AS23" s="470">
        <f t="shared" si="171"/>
        <v>793703</v>
      </c>
    </row>
    <row r="24" spans="2:45">
      <c r="B24" s="112" t="s">
        <v>219</v>
      </c>
      <c r="C24" s="122" t="s">
        <v>174</v>
      </c>
      <c r="D24" s="122" t="s">
        <v>174</v>
      </c>
      <c r="E24" s="122" t="s">
        <v>174</v>
      </c>
      <c r="F24" s="471" t="s">
        <v>174</v>
      </c>
      <c r="G24" s="471" t="s">
        <v>174</v>
      </c>
      <c r="H24" s="471" t="s">
        <v>174</v>
      </c>
      <c r="I24" s="471" t="s">
        <v>174</v>
      </c>
      <c r="J24" s="472">
        <f t="shared" ref="J24:AA24" si="172">J23/F23-1</f>
        <v>0.50057257371886621</v>
      </c>
      <c r="K24" s="472">
        <f t="shared" si="172"/>
        <v>0.63820388951414464</v>
      </c>
      <c r="L24" s="472">
        <f t="shared" si="172"/>
        <v>0.56318447857582732</v>
      </c>
      <c r="M24" s="472">
        <f t="shared" si="172"/>
        <v>0.36189628514931438</v>
      </c>
      <c r="N24" s="472">
        <f t="shared" si="172"/>
        <v>0.19590448026964302</v>
      </c>
      <c r="O24" s="472">
        <f t="shared" si="172"/>
        <v>0.10108414909542662</v>
      </c>
      <c r="P24" s="472">
        <f t="shared" si="172"/>
        <v>0.2536533622907966</v>
      </c>
      <c r="Q24" s="472">
        <f t="shared" si="172"/>
        <v>0.11686312293030321</v>
      </c>
      <c r="R24" s="472">
        <f t="shared" si="172"/>
        <v>0.22185190109013564</v>
      </c>
      <c r="S24" s="472">
        <f t="shared" si="172"/>
        <v>0.32539772764826802</v>
      </c>
      <c r="T24" s="472">
        <f t="shared" si="172"/>
        <v>-5.7030838290692221E-2</v>
      </c>
      <c r="U24" s="472">
        <f t="shared" si="172"/>
        <v>0.25247260453710485</v>
      </c>
      <c r="V24" s="472">
        <f t="shared" si="172"/>
        <v>0.28821034581433325</v>
      </c>
      <c r="W24" s="472">
        <f t="shared" si="172"/>
        <v>0.30612475919905724</v>
      </c>
      <c r="X24" s="472">
        <f t="shared" si="172"/>
        <v>0.68582676485569483</v>
      </c>
      <c r="Y24" s="472">
        <f t="shared" si="172"/>
        <v>0.51550973422342961</v>
      </c>
      <c r="Z24" s="472">
        <f t="shared" si="172"/>
        <v>0.28810830054448422</v>
      </c>
      <c r="AA24" s="472">
        <f t="shared" si="172"/>
        <v>0.10350322909487986</v>
      </c>
      <c r="AB24" s="472">
        <f t="shared" ref="AB24" si="173">AB23/X23-1</f>
        <v>-3.6619876991463185E-2</v>
      </c>
      <c r="AC24" s="472">
        <f t="shared" ref="AC24" si="174">AC23/Y23-1</f>
        <v>-0.16818906006125589</v>
      </c>
      <c r="AD24" s="472">
        <f t="shared" ref="AD24" si="175">AD23/Z23-1</f>
        <v>-0.24447789271933928</v>
      </c>
      <c r="AE24" s="472">
        <f t="shared" ref="AE24" si="176">AE23/AA23-1</f>
        <v>-0.22298586348705263</v>
      </c>
      <c r="AF24" s="472">
        <f t="shared" ref="AF24" si="177">AF23/AB23-1</f>
        <v>-0.2317100095222806</v>
      </c>
      <c r="AG24" s="472">
        <f t="shared" ref="AG24" si="178">AG23/AC23-1</f>
        <v>-0.14474668060485951</v>
      </c>
      <c r="AH24" s="472">
        <f t="shared" ref="AH24" si="179">AH23/AD23-1</f>
        <v>2.3487115174737561E-2</v>
      </c>
      <c r="AI24" s="472">
        <f t="shared" ref="AI24" si="180">AI23/AE23-1</f>
        <v>7.2634589061530974E-3</v>
      </c>
      <c r="AJ24" s="472">
        <f t="shared" ref="AJ24" si="181">AJ23/AF23-1</f>
        <v>0.20396519682300851</v>
      </c>
      <c r="AK24" s="472">
        <f t="shared" ref="AK24" si="182">AK23/AG23-1</f>
        <v>6.785118842330462E-3</v>
      </c>
      <c r="AL24" s="472">
        <f t="shared" ref="AL24" si="183">AL23/AH23-1</f>
        <v>-6.6133860204021011E-2</v>
      </c>
      <c r="AM24" s="472">
        <f t="shared" ref="AM24" si="184">AM23/AI23-1</f>
        <v>-4.3724033784924843E-2</v>
      </c>
      <c r="AN24" s="472">
        <f t="shared" ref="AN24" si="185">AN23/AJ23-1</f>
        <v>-0.36658707998614637</v>
      </c>
      <c r="AO24" s="472">
        <f t="shared" ref="AO24" si="186">AO23/AK23-1</f>
        <v>-0.20619440046574045</v>
      </c>
      <c r="AP24" s="472">
        <f t="shared" ref="AP24" si="187">AP23/AL23-1</f>
        <v>-0.22568530435422174</v>
      </c>
      <c r="AQ24" s="472">
        <f t="shared" ref="AQ24" si="188">AQ23/AM23-1</f>
        <v>-0.22621785557934271</v>
      </c>
      <c r="AR24" s="472">
        <f t="shared" ref="AR24" si="189">AR23/AN23-1</f>
        <v>-0.28002654079346567</v>
      </c>
      <c r="AS24" s="472">
        <f t="shared" ref="AS24" si="190">AS23/AO23-1</f>
        <v>-0.55632603345122478</v>
      </c>
    </row>
    <row r="25" spans="2:45">
      <c r="B25" s="108" t="s">
        <v>117</v>
      </c>
      <c r="C25" s="122" t="s">
        <v>174</v>
      </c>
      <c r="D25" s="122" t="s">
        <v>174</v>
      </c>
      <c r="E25" s="122" t="s">
        <v>174</v>
      </c>
      <c r="F25" s="470">
        <f t="shared" ref="F25:AS25" si="191">SUM(C7:F7)</f>
        <v>221613</v>
      </c>
      <c r="G25" s="470">
        <f t="shared" si="191"/>
        <v>223743</v>
      </c>
      <c r="H25" s="470">
        <f t="shared" si="191"/>
        <v>250996</v>
      </c>
      <c r="I25" s="470">
        <f t="shared" si="191"/>
        <v>286071</v>
      </c>
      <c r="J25" s="470">
        <f t="shared" si="191"/>
        <v>320420</v>
      </c>
      <c r="K25" s="470">
        <f t="shared" si="191"/>
        <v>323231</v>
      </c>
      <c r="L25" s="470">
        <f t="shared" si="191"/>
        <v>317347</v>
      </c>
      <c r="M25" s="470">
        <f t="shared" si="191"/>
        <v>294895</v>
      </c>
      <c r="N25" s="470">
        <f t="shared" si="191"/>
        <v>379916</v>
      </c>
      <c r="O25" s="470">
        <f t="shared" si="191"/>
        <v>399910</v>
      </c>
      <c r="P25" s="470">
        <f t="shared" si="191"/>
        <v>497061</v>
      </c>
      <c r="Q25" s="470">
        <f t="shared" si="191"/>
        <v>477963</v>
      </c>
      <c r="R25" s="470">
        <f t="shared" si="191"/>
        <v>436479</v>
      </c>
      <c r="S25" s="470">
        <f t="shared" si="191"/>
        <v>476739</v>
      </c>
      <c r="T25" s="470">
        <f t="shared" si="191"/>
        <v>417097</v>
      </c>
      <c r="U25" s="470">
        <f t="shared" si="191"/>
        <v>501982</v>
      </c>
      <c r="V25" s="470">
        <f t="shared" si="191"/>
        <v>603097</v>
      </c>
      <c r="W25" s="470">
        <f t="shared" si="191"/>
        <v>686482</v>
      </c>
      <c r="X25" s="470">
        <f t="shared" si="191"/>
        <v>782588</v>
      </c>
      <c r="Y25" s="470">
        <f t="shared" si="191"/>
        <v>849646</v>
      </c>
      <c r="Z25" s="470">
        <f t="shared" si="191"/>
        <v>818034</v>
      </c>
      <c r="AA25" s="470">
        <f t="shared" si="191"/>
        <v>786492</v>
      </c>
      <c r="AB25" s="470">
        <f t="shared" si="191"/>
        <v>803772</v>
      </c>
      <c r="AC25" s="470">
        <f t="shared" si="191"/>
        <v>757282</v>
      </c>
      <c r="AD25" s="470">
        <f t="shared" si="191"/>
        <v>646600</v>
      </c>
      <c r="AE25" s="470">
        <f t="shared" si="191"/>
        <v>587009</v>
      </c>
      <c r="AF25" s="470">
        <f t="shared" si="191"/>
        <v>497587</v>
      </c>
      <c r="AG25" s="470">
        <f t="shared" si="191"/>
        <v>500593</v>
      </c>
      <c r="AH25" s="470">
        <f t="shared" si="191"/>
        <v>542187</v>
      </c>
      <c r="AI25" s="470">
        <f t="shared" si="191"/>
        <v>534772</v>
      </c>
      <c r="AJ25" s="470">
        <f t="shared" si="191"/>
        <v>635120</v>
      </c>
      <c r="AK25" s="470">
        <f t="shared" si="191"/>
        <v>548406</v>
      </c>
      <c r="AL25" s="470">
        <f t="shared" si="191"/>
        <v>1669310</v>
      </c>
      <c r="AM25" s="470">
        <f t="shared" si="191"/>
        <v>1651622</v>
      </c>
      <c r="AN25" s="470">
        <f t="shared" si="191"/>
        <v>1519945</v>
      </c>
      <c r="AO25" s="470">
        <f t="shared" si="191"/>
        <v>1532966</v>
      </c>
      <c r="AP25" s="470">
        <f t="shared" si="191"/>
        <v>353546</v>
      </c>
      <c r="AQ25" s="470">
        <f t="shared" si="191"/>
        <v>339762</v>
      </c>
      <c r="AR25" s="470">
        <f t="shared" si="191"/>
        <v>229154</v>
      </c>
      <c r="AS25" s="470">
        <f t="shared" si="191"/>
        <v>144042</v>
      </c>
    </row>
    <row r="26" spans="2:45">
      <c r="B26" s="112" t="s">
        <v>118</v>
      </c>
      <c r="C26" s="122" t="s">
        <v>174</v>
      </c>
      <c r="D26" s="122" t="s">
        <v>174</v>
      </c>
      <c r="E26" s="122" t="s">
        <v>174</v>
      </c>
      <c r="F26" s="473">
        <f t="shared" ref="F26:K26" si="192">F25/F23</f>
        <v>0.26435370741482966</v>
      </c>
      <c r="G26" s="473">
        <f t="shared" si="192"/>
        <v>0.26675195047975125</v>
      </c>
      <c r="H26" s="473">
        <f t="shared" si="192"/>
        <v>0.26695369077335906</v>
      </c>
      <c r="I26" s="473">
        <f t="shared" si="192"/>
        <v>0.26249501062106873</v>
      </c>
      <c r="J26" s="473">
        <f t="shared" si="192"/>
        <v>0.25471398136665713</v>
      </c>
      <c r="K26" s="473">
        <f t="shared" si="192"/>
        <v>0.23523568252923971</v>
      </c>
      <c r="L26" s="473">
        <f t="shared" ref="L26:M26" si="193">L25/L23</f>
        <v>0.21592020912513896</v>
      </c>
      <c r="M26" s="473">
        <f t="shared" si="193"/>
        <v>0.1986875216865481</v>
      </c>
      <c r="N26" s="473">
        <f t="shared" ref="N26:O26" si="194">N25/N23</f>
        <v>0.25253655942568465</v>
      </c>
      <c r="O26" s="473">
        <f t="shared" si="194"/>
        <v>0.26432116962001889</v>
      </c>
      <c r="P26" s="473">
        <f t="shared" ref="P26:Q26" si="195">P25/P23</f>
        <v>0.26976842381768279</v>
      </c>
      <c r="Q26" s="473">
        <f t="shared" si="195"/>
        <v>0.2883350978635611</v>
      </c>
      <c r="R26" s="473">
        <f t="shared" ref="R26:S26" si="196">R25/R23</f>
        <v>0.23745507721333467</v>
      </c>
      <c r="S26" s="473">
        <f t="shared" si="196"/>
        <v>0.23774103158301033</v>
      </c>
      <c r="T26" s="473">
        <f t="shared" ref="T26:U26" si="197">T25/T23</f>
        <v>0.24006066309249394</v>
      </c>
      <c r="U26" s="473">
        <f t="shared" si="197"/>
        <v>0.2417815410995193</v>
      </c>
      <c r="V26" s="473">
        <f t="shared" ref="V26:W26" si="198">V25/V23</f>
        <v>0.25469386962193546</v>
      </c>
      <c r="W26" s="473">
        <f t="shared" si="198"/>
        <v>0.26210056296782741</v>
      </c>
      <c r="X26" s="473">
        <f t="shared" ref="X26:Y26" si="199">X25/X23</f>
        <v>0.26718014110304822</v>
      </c>
      <c r="Y26" s="473">
        <f t="shared" si="199"/>
        <v>0.27003140979211315</v>
      </c>
      <c r="Z26" s="473">
        <f t="shared" ref="Z26:AA26" si="200">Z25/Z23</f>
        <v>0.26819476687860166</v>
      </c>
      <c r="AA26" s="473">
        <f t="shared" si="200"/>
        <v>0.27211939744921365</v>
      </c>
      <c r="AB26" s="473">
        <f t="shared" ref="AB26:AC26" si="201">AB25/AB23</f>
        <v>0.28484341394491397</v>
      </c>
      <c r="AC26" s="473">
        <f t="shared" si="201"/>
        <v>0.28934053014802835</v>
      </c>
      <c r="AD26" s="473">
        <f t="shared" ref="AD26:AS26" si="202">AD25/AD23</f>
        <v>0.28058695005977552</v>
      </c>
      <c r="AE26" s="473">
        <f t="shared" si="202"/>
        <v>0.26138522247682522</v>
      </c>
      <c r="AF26" s="473">
        <f t="shared" si="202"/>
        <v>0.2295182159474124</v>
      </c>
      <c r="AG26" s="473">
        <f t="shared" si="202"/>
        <v>0.22363596238074221</v>
      </c>
      <c r="AH26" s="473">
        <f t="shared" si="202"/>
        <v>0.2298785710045875</v>
      </c>
      <c r="AI26" s="473">
        <f t="shared" si="202"/>
        <v>0.23640782750696926</v>
      </c>
      <c r="AJ26" s="473">
        <f t="shared" si="202"/>
        <v>0.24332682541093392</v>
      </c>
      <c r="AK26" s="473">
        <f t="shared" si="202"/>
        <v>0.24334491767896571</v>
      </c>
      <c r="AL26" s="473">
        <f t="shared" si="202"/>
        <v>0.75788228264985258</v>
      </c>
      <c r="AM26" s="473">
        <f t="shared" si="202"/>
        <v>0.76352033846670186</v>
      </c>
      <c r="AN26" s="473">
        <f t="shared" si="202"/>
        <v>0.91933788341406053</v>
      </c>
      <c r="AO26" s="473">
        <f t="shared" si="202"/>
        <v>0.85691638535372761</v>
      </c>
      <c r="AP26" s="473">
        <f t="shared" si="202"/>
        <v>0.20729708051109819</v>
      </c>
      <c r="AQ26" s="473">
        <f t="shared" si="202"/>
        <v>0.20298598415600244</v>
      </c>
      <c r="AR26" s="473">
        <f t="shared" si="202"/>
        <v>0.19251219194596478</v>
      </c>
      <c r="AS26" s="473">
        <f t="shared" si="202"/>
        <v>0.18148098218099212</v>
      </c>
    </row>
    <row r="27" spans="2:45">
      <c r="B27" s="108" t="s">
        <v>119</v>
      </c>
      <c r="C27" s="122" t="s">
        <v>174</v>
      </c>
      <c r="D27" s="122" t="s">
        <v>174</v>
      </c>
      <c r="E27" s="122" t="s">
        <v>174</v>
      </c>
      <c r="F27" s="470">
        <f t="shared" ref="F27:O28" si="203">SUM(C9:F9)</f>
        <v>95803</v>
      </c>
      <c r="G27" s="470">
        <f t="shared" si="203"/>
        <v>99132</v>
      </c>
      <c r="H27" s="470">
        <f t="shared" si="203"/>
        <v>108650</v>
      </c>
      <c r="I27" s="470">
        <f t="shared" si="203"/>
        <v>109105</v>
      </c>
      <c r="J27" s="470">
        <f t="shared" si="203"/>
        <v>150619</v>
      </c>
      <c r="K27" s="470">
        <f t="shared" si="203"/>
        <v>138687</v>
      </c>
      <c r="L27" s="470">
        <f t="shared" si="203"/>
        <v>119116</v>
      </c>
      <c r="M27" s="470">
        <f t="shared" si="203"/>
        <v>108733</v>
      </c>
      <c r="N27" s="470">
        <f t="shared" si="203"/>
        <v>179805</v>
      </c>
      <c r="O27" s="470">
        <f t="shared" si="203"/>
        <v>209594</v>
      </c>
      <c r="P27" s="470">
        <f t="shared" ref="P27:Y28" si="204">SUM(M9:P9)</f>
        <v>289391</v>
      </c>
      <c r="Q27" s="470">
        <f t="shared" si="204"/>
        <v>278993</v>
      </c>
      <c r="R27" s="470">
        <f t="shared" si="204"/>
        <v>208941</v>
      </c>
      <c r="S27" s="470">
        <f t="shared" si="204"/>
        <v>216398</v>
      </c>
      <c r="T27" s="470">
        <f t="shared" si="204"/>
        <v>168438</v>
      </c>
      <c r="U27" s="470">
        <f t="shared" si="204"/>
        <v>218832</v>
      </c>
      <c r="V27" s="470">
        <f t="shared" si="204"/>
        <v>238387</v>
      </c>
      <c r="W27" s="470">
        <f t="shared" si="204"/>
        <v>253207</v>
      </c>
      <c r="X27" s="470">
        <f t="shared" si="204"/>
        <v>226344</v>
      </c>
      <c r="Y27" s="470">
        <f t="shared" si="204"/>
        <v>193034</v>
      </c>
      <c r="Z27" s="470">
        <f t="shared" ref="Z27:AI28" si="205">SUM(W9:Z9)</f>
        <v>270336</v>
      </c>
      <c r="AA27" s="470">
        <f t="shared" si="205"/>
        <v>265517</v>
      </c>
      <c r="AB27" s="470">
        <f t="shared" si="205"/>
        <v>314594</v>
      </c>
      <c r="AC27" s="470">
        <f t="shared" si="205"/>
        <v>351336</v>
      </c>
      <c r="AD27" s="470">
        <f t="shared" si="205"/>
        <v>256493</v>
      </c>
      <c r="AE27" s="470">
        <f t="shared" si="205"/>
        <v>266571</v>
      </c>
      <c r="AF27" s="470">
        <f t="shared" si="205"/>
        <v>271069</v>
      </c>
      <c r="AG27" s="470">
        <f t="shared" si="205"/>
        <v>286376</v>
      </c>
      <c r="AH27" s="470">
        <f t="shared" si="205"/>
        <v>308932</v>
      </c>
      <c r="AI27" s="470">
        <f t="shared" si="205"/>
        <v>308835</v>
      </c>
      <c r="AJ27" s="470">
        <f t="shared" ref="AJ27:AS28" si="206">SUM(AG9:AJ9)</f>
        <v>388015</v>
      </c>
      <c r="AK27" s="470">
        <f t="shared" si="206"/>
        <v>322005</v>
      </c>
      <c r="AL27" s="470">
        <f t="shared" si="206"/>
        <v>321142</v>
      </c>
      <c r="AM27" s="470">
        <f t="shared" si="206"/>
        <v>322018</v>
      </c>
      <c r="AN27" s="470">
        <f t="shared" si="206"/>
        <v>236987</v>
      </c>
      <c r="AO27" s="470">
        <f t="shared" si="206"/>
        <v>290096</v>
      </c>
      <c r="AP27" s="470">
        <f t="shared" si="206"/>
        <v>273770</v>
      </c>
      <c r="AQ27" s="470">
        <f t="shared" si="206"/>
        <v>260737</v>
      </c>
      <c r="AR27" s="470">
        <f t="shared" si="206"/>
        <v>189737</v>
      </c>
      <c r="AS27" s="470">
        <f t="shared" si="206"/>
        <v>126109</v>
      </c>
    </row>
    <row r="28" spans="2:45">
      <c r="B28" s="108" t="s">
        <v>121</v>
      </c>
      <c r="C28" s="122" t="s">
        <v>174</v>
      </c>
      <c r="D28" s="122" t="s">
        <v>174</v>
      </c>
      <c r="E28" s="122" t="s">
        <v>174</v>
      </c>
      <c r="F28" s="470">
        <f t="shared" si="203"/>
        <v>75031</v>
      </c>
      <c r="G28" s="470">
        <f t="shared" si="203"/>
        <v>75111</v>
      </c>
      <c r="H28" s="470">
        <f t="shared" si="203"/>
        <v>86651</v>
      </c>
      <c r="I28" s="470">
        <f t="shared" si="203"/>
        <v>100871</v>
      </c>
      <c r="J28" s="470">
        <f t="shared" si="203"/>
        <v>113306</v>
      </c>
      <c r="K28" s="470">
        <f t="shared" si="203"/>
        <v>128828</v>
      </c>
      <c r="L28" s="470">
        <f t="shared" si="203"/>
        <v>144237</v>
      </c>
      <c r="M28" s="470">
        <f t="shared" si="203"/>
        <v>148273</v>
      </c>
      <c r="N28" s="470">
        <f t="shared" si="203"/>
        <v>155286</v>
      </c>
      <c r="O28" s="470">
        <f t="shared" si="203"/>
        <v>146318</v>
      </c>
      <c r="P28" s="470">
        <f t="shared" si="204"/>
        <v>163099</v>
      </c>
      <c r="Q28" s="470">
        <f t="shared" si="204"/>
        <v>156391</v>
      </c>
      <c r="R28" s="470">
        <f t="shared" si="204"/>
        <v>178608</v>
      </c>
      <c r="S28" s="470">
        <f t="shared" si="204"/>
        <v>203113</v>
      </c>
      <c r="T28" s="470">
        <f t="shared" si="204"/>
        <v>194348</v>
      </c>
      <c r="U28" s="470">
        <f t="shared" si="204"/>
        <v>252337</v>
      </c>
      <c r="V28" s="470">
        <f t="shared" si="204"/>
        <v>325895</v>
      </c>
      <c r="W28" s="470">
        <f t="shared" si="204"/>
        <v>382714</v>
      </c>
      <c r="X28" s="470">
        <f t="shared" si="204"/>
        <v>445224</v>
      </c>
      <c r="Y28" s="470">
        <f t="shared" si="204"/>
        <v>456770</v>
      </c>
      <c r="Z28" s="470">
        <f t="shared" si="205"/>
        <v>429645</v>
      </c>
      <c r="AA28" s="470">
        <f t="shared" si="205"/>
        <v>408673</v>
      </c>
      <c r="AB28" s="470">
        <f t="shared" si="205"/>
        <v>413915</v>
      </c>
      <c r="AC28" s="470">
        <f t="shared" si="205"/>
        <v>403755</v>
      </c>
      <c r="AD28" s="470">
        <f t="shared" si="205"/>
        <v>326567</v>
      </c>
      <c r="AE28" s="470">
        <f t="shared" si="205"/>
        <v>274843</v>
      </c>
      <c r="AF28" s="470">
        <f t="shared" si="205"/>
        <v>204601</v>
      </c>
      <c r="AG28" s="470">
        <f t="shared" si="205"/>
        <v>181253</v>
      </c>
      <c r="AH28" s="470">
        <f t="shared" si="205"/>
        <v>199227</v>
      </c>
      <c r="AI28" s="470">
        <f t="shared" si="205"/>
        <v>189318</v>
      </c>
      <c r="AJ28" s="470">
        <f t="shared" si="206"/>
        <v>236161</v>
      </c>
      <c r="AK28" s="470">
        <f t="shared" si="206"/>
        <v>197290</v>
      </c>
      <c r="AL28" s="470">
        <f t="shared" si="206"/>
        <v>196071</v>
      </c>
      <c r="AM28" s="470">
        <f t="shared" si="206"/>
        <v>184742</v>
      </c>
      <c r="AN28" s="470">
        <f t="shared" si="206"/>
        <v>126805</v>
      </c>
      <c r="AO28" s="470">
        <f t="shared" si="206"/>
        <v>125335</v>
      </c>
      <c r="AP28" s="470">
        <f t="shared" si="206"/>
        <v>98486</v>
      </c>
      <c r="AQ28" s="470">
        <f t="shared" si="206"/>
        <v>97081</v>
      </c>
      <c r="AR28" s="470">
        <f t="shared" si="206"/>
        <v>55041</v>
      </c>
      <c r="AS28" s="470">
        <f t="shared" si="206"/>
        <v>28340</v>
      </c>
    </row>
    <row r="29" spans="2:45">
      <c r="B29" s="120" t="s">
        <v>220</v>
      </c>
      <c r="C29" s="123" t="s">
        <v>174</v>
      </c>
      <c r="D29" s="123" t="s">
        <v>174</v>
      </c>
      <c r="E29" s="123" t="s">
        <v>174</v>
      </c>
      <c r="F29" s="474">
        <f t="shared" ref="F29:K29" si="207">F28/F23</f>
        <v>8.9501622292203459E-2</v>
      </c>
      <c r="G29" s="474">
        <f t="shared" si="207"/>
        <v>8.9549195963603764E-2</v>
      </c>
      <c r="H29" s="474">
        <f t="shared" si="207"/>
        <v>9.2160051392063375E-2</v>
      </c>
      <c r="I29" s="474">
        <f t="shared" si="207"/>
        <v>9.2557911205112794E-2</v>
      </c>
      <c r="J29" s="474">
        <f t="shared" si="207"/>
        <v>9.0071226430093174E-2</v>
      </c>
      <c r="K29" s="474">
        <f t="shared" si="207"/>
        <v>9.3756299701689791E-2</v>
      </c>
      <c r="L29" s="474">
        <f t="shared" ref="L29:M29" si="208">L28/L23</f>
        <v>9.8137632319141729E-2</v>
      </c>
      <c r="M29" s="474">
        <f t="shared" si="208"/>
        <v>9.9899947110088497E-2</v>
      </c>
      <c r="N29" s="474">
        <f t="shared" ref="N29:O29" si="209">N28/N23</f>
        <v>0.10322121776123372</v>
      </c>
      <c r="O29" s="474">
        <f t="shared" si="209"/>
        <v>9.6709121793558367E-2</v>
      </c>
      <c r="P29" s="474">
        <f t="shared" ref="P29:Q29" si="210">P28/P23</f>
        <v>8.8518230471190146E-2</v>
      </c>
      <c r="Q29" s="474">
        <f t="shared" si="210"/>
        <v>9.4344152769105946E-2</v>
      </c>
      <c r="R29" s="474">
        <f t="shared" ref="R29:S29" si="211">R28/R23</f>
        <v>9.7167049115580092E-2</v>
      </c>
      <c r="S29" s="474">
        <f t="shared" si="211"/>
        <v>0.10128874320733142</v>
      </c>
      <c r="T29" s="474">
        <f t="shared" ref="T29:U29" si="212">T28/T23</f>
        <v>0.11185721726768597</v>
      </c>
      <c r="U29" s="474">
        <f t="shared" si="212"/>
        <v>0.12153907657332216</v>
      </c>
      <c r="V29" s="474">
        <f t="shared" ref="V29:W29" si="213">V28/V23</f>
        <v>0.13762870423902068</v>
      </c>
      <c r="W29" s="474">
        <f t="shared" si="213"/>
        <v>0.14612117266828423</v>
      </c>
      <c r="X29" s="474">
        <f t="shared" ref="X29:Y29" si="214">X28/X23</f>
        <v>0.15200208940395654</v>
      </c>
      <c r="Y29" s="474">
        <f t="shared" si="214"/>
        <v>0.1451689845544421</v>
      </c>
      <c r="Z29" s="474">
        <f t="shared" ref="Z29:AA29" si="215">Z28/Z23</f>
        <v>0.14086033174117069</v>
      </c>
      <c r="AA29" s="474">
        <f t="shared" si="215"/>
        <v>0.1413973066652458</v>
      </c>
      <c r="AB29" s="474">
        <f t="shared" ref="AB29:AC29" si="216">AB28/AB23</f>
        <v>0.14668458428883943</v>
      </c>
      <c r="AC29" s="474">
        <f t="shared" si="216"/>
        <v>0.15426576328226102</v>
      </c>
      <c r="AD29" s="474">
        <f t="shared" ref="AD29:AS29" si="217">AD28/AD23</f>
        <v>0.14171116381096616</v>
      </c>
      <c r="AE29" s="474">
        <f t="shared" si="217"/>
        <v>0.12238295954780605</v>
      </c>
      <c r="AF29" s="474">
        <f t="shared" si="217"/>
        <v>9.4374765620999987E-2</v>
      </c>
      <c r="AG29" s="474">
        <f t="shared" si="217"/>
        <v>8.0973343793054764E-2</v>
      </c>
      <c r="AH29" s="474">
        <f t="shared" si="217"/>
        <v>8.4469044933816115E-2</v>
      </c>
      <c r="AI29" s="474">
        <f t="shared" si="217"/>
        <v>8.3692222270358968E-2</v>
      </c>
      <c r="AJ29" s="474">
        <f t="shared" si="217"/>
        <v>9.0477872553016064E-2</v>
      </c>
      <c r="AK29" s="474">
        <f t="shared" si="217"/>
        <v>8.754375190804467E-2</v>
      </c>
      <c r="AL29" s="474">
        <f t="shared" si="217"/>
        <v>8.9018059582365916E-2</v>
      </c>
      <c r="AM29" s="474">
        <f t="shared" si="217"/>
        <v>8.5403484797983695E-2</v>
      </c>
      <c r="AN29" s="474">
        <f t="shared" si="217"/>
        <v>7.6697933350430417E-2</v>
      </c>
      <c r="AO29" s="474">
        <f t="shared" si="217"/>
        <v>7.0061315879353783E-2</v>
      </c>
      <c r="AP29" s="474">
        <f t="shared" si="217"/>
        <v>5.7745980073925361E-2</v>
      </c>
      <c r="AQ29" s="474">
        <f t="shared" si="217"/>
        <v>5.7999665435948908E-2</v>
      </c>
      <c r="AR29" s="474">
        <f t="shared" si="217"/>
        <v>4.6239924054992922E-2</v>
      </c>
      <c r="AS29" s="474">
        <f t="shared" si="217"/>
        <v>3.5706051255948383E-2</v>
      </c>
    </row>
    <row r="30" spans="2:45">
      <c r="D30" s="530"/>
      <c r="F30" s="338"/>
      <c r="G30" s="338"/>
      <c r="H30" s="338"/>
      <c r="I30" s="338"/>
      <c r="J30" s="338"/>
    </row>
    <row r="31" spans="2:45">
      <c r="D31" s="324"/>
      <c r="AA31" s="157"/>
    </row>
    <row r="32" spans="2:45">
      <c r="B32" s="324"/>
    </row>
    <row r="33" spans="2:2">
      <c r="B33" s="324"/>
    </row>
    <row r="57" spans="3:10">
      <c r="C57" s="337"/>
      <c r="D57" s="337"/>
      <c r="E57" s="337"/>
      <c r="F57" s="337"/>
      <c r="G57" s="337"/>
      <c r="H57" s="337"/>
      <c r="I57" s="337"/>
      <c r="J57" s="337"/>
    </row>
    <row r="60" spans="3:10">
      <c r="C60" s="409"/>
      <c r="D60" s="157"/>
      <c r="E60" s="157"/>
      <c r="F60" s="157"/>
    </row>
    <row r="65" spans="3:3">
      <c r="C65" s="382"/>
    </row>
    <row r="66" spans="3:3">
      <c r="C66" s="382"/>
    </row>
    <row r="67" spans="3:3">
      <c r="C67" s="382"/>
    </row>
    <row r="68" spans="3:3">
      <c r="C68" s="410"/>
    </row>
    <row r="69" spans="3:3">
      <c r="C69" s="410"/>
    </row>
    <row r="70" spans="3:3">
      <c r="C70" s="410"/>
    </row>
    <row r="71" spans="3:3">
      <c r="C71" s="410"/>
    </row>
  </sheetData>
  <pageMargins left="0.25" right="0.25" top="0.25" bottom="0.25" header="0.3" footer="0.3"/>
  <pageSetup scale="49" fitToHeight="0" orientation="landscape" r:id="rId1"/>
  <ignoredErrors>
    <ignoredError sqref="F23:J23 F27:J29 F25:J25 F24:I24" formulaRange="1"/>
    <ignoredError sqref="F26 G26:J26 J24"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2060"/>
  </sheetPr>
  <dimension ref="A2:BB44"/>
  <sheetViews>
    <sheetView showGridLines="0" topLeftCell="B1" workbookViewId="0">
      <pane xSplit="1" topLeftCell="C1" activePane="topRight" state="frozen"/>
      <selection activeCell="B1" sqref="B1"/>
      <selection pane="topRight" activeCell="AR10" sqref="AR10"/>
    </sheetView>
  </sheetViews>
  <sheetFormatPr defaultColWidth="9.1796875" defaultRowHeight="14"/>
  <cols>
    <col min="1" max="1" width="7" style="108" hidden="1" customWidth="1"/>
    <col min="2" max="2" width="29.453125" style="108" customWidth="1"/>
    <col min="3" max="9" width="13.453125" style="108" customWidth="1"/>
    <col min="10" max="11" width="15.81640625" style="108" customWidth="1"/>
    <col min="12" max="39" width="13.453125" style="108" customWidth="1"/>
    <col min="40" max="41" width="12.7265625" style="108" bestFit="1" customWidth="1"/>
    <col min="42" max="42" width="12.453125" style="108" bestFit="1" customWidth="1"/>
    <col min="43" max="43" width="12.7265625" style="108" bestFit="1" customWidth="1"/>
    <col min="44" max="44" width="10.453125" style="108" bestFit="1" customWidth="1"/>
    <col min="45" max="16384" width="9.1796875" style="108"/>
  </cols>
  <sheetData>
    <row r="2" spans="2:54">
      <c r="B2" s="153" t="s">
        <v>223</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row>
    <row r="3" spans="2:54">
      <c r="B3" s="155" t="s">
        <v>224</v>
      </c>
      <c r="C3" s="532">
        <v>42369</v>
      </c>
      <c r="D3" s="482">
        <f>EOMONTH(C3,3)</f>
        <v>42460</v>
      </c>
      <c r="E3" s="482">
        <f t="shared" ref="E3:L3" si="0">EOMONTH(D3,3)</f>
        <v>42551</v>
      </c>
      <c r="F3" s="482">
        <f t="shared" si="0"/>
        <v>42643</v>
      </c>
      <c r="G3" s="482">
        <f t="shared" si="0"/>
        <v>42735</v>
      </c>
      <c r="H3" s="482">
        <f t="shared" si="0"/>
        <v>42825</v>
      </c>
      <c r="I3" s="482">
        <f t="shared" si="0"/>
        <v>42916</v>
      </c>
      <c r="J3" s="482">
        <f t="shared" si="0"/>
        <v>43008</v>
      </c>
      <c r="K3" s="482">
        <f t="shared" si="0"/>
        <v>43100</v>
      </c>
      <c r="L3" s="482">
        <f t="shared" si="0"/>
        <v>43190</v>
      </c>
      <c r="M3" s="482">
        <f>EOMONTH(L3,3)</f>
        <v>43281</v>
      </c>
      <c r="N3" s="482">
        <f>EOMONTH(M3,3)</f>
        <v>43373</v>
      </c>
      <c r="O3" s="482">
        <f>EOMONTH(N3,3)</f>
        <v>43465</v>
      </c>
      <c r="P3" s="482">
        <f t="shared" ref="P3:U3" si="1">EOMONTH(O3,3)</f>
        <v>43555</v>
      </c>
      <c r="Q3" s="482">
        <f t="shared" si="1"/>
        <v>43646</v>
      </c>
      <c r="R3" s="482">
        <f t="shared" si="1"/>
        <v>43738</v>
      </c>
      <c r="S3" s="482">
        <f t="shared" si="1"/>
        <v>43830</v>
      </c>
      <c r="T3" s="482">
        <f t="shared" si="1"/>
        <v>43921</v>
      </c>
      <c r="U3" s="482">
        <f t="shared" si="1"/>
        <v>44012</v>
      </c>
      <c r="V3" s="482">
        <f t="shared" ref="V3" si="2">EOMONTH(U3,3)</f>
        <v>44104</v>
      </c>
      <c r="W3" s="482">
        <f t="shared" ref="W3" si="3">EOMONTH(V3,3)</f>
        <v>44196</v>
      </c>
      <c r="X3" s="482">
        <f t="shared" ref="X3" si="4">EOMONTH(W3,3)</f>
        <v>44286</v>
      </c>
      <c r="Y3" s="482">
        <f t="shared" ref="Y3" si="5">EOMONTH(X3,3)</f>
        <v>44377</v>
      </c>
      <c r="Z3" s="482">
        <f t="shared" ref="Z3" si="6">EOMONTH(Y3,3)</f>
        <v>44469</v>
      </c>
      <c r="AA3" s="482">
        <f t="shared" ref="AA3" si="7">EOMONTH(Z3,3)</f>
        <v>44561</v>
      </c>
      <c r="AB3" s="482">
        <f t="shared" ref="AB3:AC3" si="8">EOMONTH(AA3,3)</f>
        <v>44651</v>
      </c>
      <c r="AC3" s="482">
        <f t="shared" si="8"/>
        <v>44742</v>
      </c>
      <c r="AD3" s="482">
        <f t="shared" ref="AD3" si="9">EOMONTH(AC3,3)</f>
        <v>44834</v>
      </c>
      <c r="AE3" s="482">
        <f t="shared" ref="AE3" si="10">EOMONTH(AD3,3)</f>
        <v>44926</v>
      </c>
      <c r="AF3" s="482">
        <f t="shared" ref="AF3" si="11">EOMONTH(AE3,3)</f>
        <v>45016</v>
      </c>
      <c r="AG3" s="482">
        <f t="shared" ref="AG3" si="12">EOMONTH(AF3,3)</f>
        <v>45107</v>
      </c>
      <c r="AH3" s="482">
        <f t="shared" ref="AH3" si="13">EOMONTH(AG3,3)</f>
        <v>45199</v>
      </c>
      <c r="AI3" s="482">
        <f t="shared" ref="AI3" si="14">EOMONTH(AH3,3)</f>
        <v>45291</v>
      </c>
      <c r="AJ3" s="482">
        <f t="shared" ref="AJ3" si="15">EOMONTH(AI3,3)</f>
        <v>45382</v>
      </c>
      <c r="AK3" s="482">
        <f t="shared" ref="AK3" si="16">EOMONTH(AJ3,3)</f>
        <v>45473</v>
      </c>
      <c r="AL3" s="482">
        <f t="shared" ref="AL3" si="17">EOMONTH(AK3,3)</f>
        <v>45565</v>
      </c>
      <c r="AM3" s="482">
        <f t="shared" ref="AM3" si="18">EOMONTH(AL3,3)</f>
        <v>45657</v>
      </c>
      <c r="AN3" s="482">
        <f t="shared" ref="AN3" si="19">EOMONTH(AM3,3)</f>
        <v>45747</v>
      </c>
      <c r="AO3" s="482">
        <f t="shared" ref="AO3" si="20">EOMONTH(AN3,3)</f>
        <v>45838</v>
      </c>
      <c r="AP3" s="482">
        <f t="shared" ref="AP3" si="21">EOMONTH(AO3,3)</f>
        <v>45930</v>
      </c>
      <c r="AQ3" s="482">
        <f t="shared" ref="AQ3" si="22">EOMONTH(AP3,3)</f>
        <v>46022</v>
      </c>
      <c r="AR3" s="482">
        <f t="shared" ref="AR3" si="23">EOMONTH(AQ3,3)</f>
        <v>46112</v>
      </c>
      <c r="AS3" s="482">
        <f t="shared" ref="AS3" si="24">EOMONTH(AR3,3)</f>
        <v>46203</v>
      </c>
      <c r="AT3" s="482">
        <f t="shared" ref="AT3" si="25">EOMONTH(AS3,3)</f>
        <v>46295</v>
      </c>
      <c r="AU3" s="482">
        <f t="shared" ref="AU3" si="26">EOMONTH(AT3,3)</f>
        <v>46387</v>
      </c>
      <c r="AV3" s="482">
        <f t="shared" ref="AV3" si="27">EOMONTH(AU3,3)</f>
        <v>46477</v>
      </c>
      <c r="AW3" s="482">
        <f t="shared" ref="AW3" si="28">EOMONTH(AV3,3)</f>
        <v>46568</v>
      </c>
      <c r="AX3" s="482">
        <f t="shared" ref="AX3" si="29">EOMONTH(AW3,3)</f>
        <v>46660</v>
      </c>
      <c r="AY3" s="482">
        <f t="shared" ref="AY3" si="30">EOMONTH(AX3,3)</f>
        <v>46752</v>
      </c>
      <c r="AZ3" s="482">
        <f t="shared" ref="AZ3" si="31">EOMONTH(AY3,3)</f>
        <v>46843</v>
      </c>
      <c r="BA3" s="482">
        <f t="shared" ref="BA3" si="32">EOMONTH(AZ3,3)</f>
        <v>46934</v>
      </c>
      <c r="BB3" s="482">
        <f t="shared" ref="BB3" si="33">EOMONTH(BA3,3)</f>
        <v>47026</v>
      </c>
    </row>
    <row r="4" spans="2:54">
      <c r="B4" s="360" t="s">
        <v>225</v>
      </c>
      <c r="C4" s="109">
        <v>37568</v>
      </c>
      <c r="D4" s="109">
        <v>47574</v>
      </c>
      <c r="E4" s="109">
        <v>49666</v>
      </c>
      <c r="F4" s="109">
        <v>45915</v>
      </c>
      <c r="G4" s="109">
        <v>49518</v>
      </c>
      <c r="H4" s="109">
        <v>31648</v>
      </c>
      <c r="I4" s="109">
        <v>27300</v>
      </c>
      <c r="J4" s="109">
        <v>47968</v>
      </c>
      <c r="K4" s="109">
        <v>67571</v>
      </c>
      <c r="L4" s="109">
        <v>52024</v>
      </c>
      <c r="M4" s="109">
        <v>48886</v>
      </c>
      <c r="N4" s="109">
        <v>37969</v>
      </c>
      <c r="O4" s="109">
        <v>46624</v>
      </c>
      <c r="P4" s="109">
        <v>35084</v>
      </c>
      <c r="Q4" s="109">
        <v>37555</v>
      </c>
      <c r="R4" s="109">
        <v>37030</v>
      </c>
      <c r="S4" s="109">
        <v>38345</v>
      </c>
      <c r="T4" s="109">
        <v>118232</v>
      </c>
      <c r="U4" s="109">
        <v>49102</v>
      </c>
      <c r="V4" s="109">
        <v>46335</v>
      </c>
      <c r="W4" s="109">
        <v>35942</v>
      </c>
      <c r="X4" s="109">
        <v>48157</v>
      </c>
      <c r="Y4" s="109">
        <v>111704</v>
      </c>
      <c r="Z4" s="109">
        <v>46717</v>
      </c>
      <c r="AA4" s="109">
        <v>50514</v>
      </c>
      <c r="AB4" s="109">
        <v>53325</v>
      </c>
      <c r="AC4" s="109">
        <v>41971</v>
      </c>
      <c r="AD4" s="109">
        <v>52660</v>
      </c>
      <c r="AE4" s="109">
        <v>31998</v>
      </c>
      <c r="AF4" s="109">
        <v>42966</v>
      </c>
      <c r="AG4" s="109">
        <v>43334</v>
      </c>
      <c r="AH4" s="109">
        <v>46981</v>
      </c>
      <c r="AI4" s="109">
        <v>48978</v>
      </c>
      <c r="AJ4" s="109">
        <v>48996</v>
      </c>
      <c r="AK4" s="109">
        <v>51071</v>
      </c>
      <c r="AL4" s="109">
        <v>60903</v>
      </c>
      <c r="AM4" s="109">
        <v>53197</v>
      </c>
      <c r="AN4" s="109">
        <v>57600</v>
      </c>
      <c r="AO4" s="109">
        <v>59560</v>
      </c>
      <c r="AP4" s="109">
        <v>61979</v>
      </c>
      <c r="AQ4" s="109">
        <v>61247</v>
      </c>
      <c r="AR4" s="109">
        <v>60860</v>
      </c>
      <c r="AS4" s="109"/>
      <c r="AT4" s="109"/>
      <c r="AU4" s="109"/>
      <c r="AV4" s="109"/>
      <c r="AW4" s="109"/>
      <c r="AX4" s="109"/>
      <c r="AY4" s="109"/>
      <c r="AZ4" s="109"/>
      <c r="BA4" s="109"/>
      <c r="BB4" s="109"/>
    </row>
    <row r="5" spans="2:54">
      <c r="B5" s="360" t="s">
        <v>134</v>
      </c>
      <c r="C5" s="422">
        <v>-12234</v>
      </c>
      <c r="D5" s="422">
        <v>-12173</v>
      </c>
      <c r="E5" s="422">
        <v>-12111</v>
      </c>
      <c r="F5" s="422">
        <v>-12049</v>
      </c>
      <c r="G5" s="422">
        <v>-12018</v>
      </c>
      <c r="H5" s="422">
        <v>-12018</v>
      </c>
      <c r="I5" s="422">
        <v>-12018</v>
      </c>
      <c r="J5" s="422">
        <f>-12018-2189</f>
        <v>-14207</v>
      </c>
      <c r="K5" s="422">
        <f>-12018-1928</f>
        <v>-13946</v>
      </c>
      <c r="L5" s="422">
        <v>-12018</v>
      </c>
      <c r="M5" s="422">
        <v>-12018</v>
      </c>
      <c r="N5" s="422">
        <v>-19979</v>
      </c>
      <c r="O5" s="422">
        <v>-14808</v>
      </c>
      <c r="P5" s="422">
        <v>-12018</v>
      </c>
      <c r="Q5" s="422">
        <v>-12018</v>
      </c>
      <c r="R5" s="422">
        <v>-12018</v>
      </c>
      <c r="S5" s="422">
        <v>-12018</v>
      </c>
      <c r="T5" s="422">
        <v>-12018</v>
      </c>
      <c r="U5" s="422">
        <v>-12018</v>
      </c>
      <c r="V5" s="422">
        <v>-12018</v>
      </c>
      <c r="W5" s="422">
        <v>-12018</v>
      </c>
      <c r="X5" s="422">
        <v>-12018</v>
      </c>
      <c r="Y5" s="422">
        <v>-12018</v>
      </c>
      <c r="Z5" s="422">
        <v>-12018</v>
      </c>
      <c r="AA5" s="422">
        <v>-12018</v>
      </c>
      <c r="AB5" s="422">
        <v>-12018</v>
      </c>
      <c r="AC5" s="422">
        <v>-12018</v>
      </c>
      <c r="AD5" s="422">
        <v>-12018</v>
      </c>
      <c r="AE5" s="422">
        <v>-12018</v>
      </c>
      <c r="AF5" s="422">
        <v>-12018</v>
      </c>
      <c r="AG5" s="422">
        <f>-(12018+7867)</f>
        <v>-19885</v>
      </c>
      <c r="AH5" s="422">
        <f>-(12018+9624)</f>
        <v>-21642</v>
      </c>
      <c r="AI5" s="422">
        <f>-(12018+8163)</f>
        <v>-20181</v>
      </c>
      <c r="AJ5" s="422">
        <f>-(12018+7269)</f>
        <v>-19287</v>
      </c>
      <c r="AK5" s="422">
        <f>-(12018+7043)</f>
        <v>-19061</v>
      </c>
      <c r="AL5" s="422">
        <f>-(12018+9146)</f>
        <v>-21164</v>
      </c>
      <c r="AM5" s="422">
        <f>-(12018+9271)</f>
        <v>-21289</v>
      </c>
      <c r="AN5" s="422">
        <f>-(12018+8154)</f>
        <v>-20172</v>
      </c>
      <c r="AO5" s="422">
        <f>-(12018+10433)</f>
        <v>-22451</v>
      </c>
      <c r="AP5" s="422">
        <f>-12018-9624</f>
        <v>-21642</v>
      </c>
      <c r="AQ5" s="422">
        <f>-9904-12018</f>
        <v>-21922</v>
      </c>
      <c r="AR5" s="422">
        <f>-(8921+12018)</f>
        <v>-20939</v>
      </c>
      <c r="AS5" s="422"/>
      <c r="AT5" s="422"/>
      <c r="AU5" s="422"/>
      <c r="AV5" s="422"/>
      <c r="AW5" s="422"/>
      <c r="AX5" s="422"/>
      <c r="AY5" s="422"/>
      <c r="AZ5" s="422"/>
      <c r="BA5" s="422"/>
      <c r="BB5" s="422"/>
    </row>
    <row r="6" spans="2:54">
      <c r="B6" s="108" t="s">
        <v>226</v>
      </c>
      <c r="C6" s="115">
        <v>586121</v>
      </c>
      <c r="D6" s="115">
        <v>622353</v>
      </c>
      <c r="E6" s="115">
        <v>674664</v>
      </c>
      <c r="F6" s="115">
        <v>738473</v>
      </c>
      <c r="G6" s="115">
        <v>784254</v>
      </c>
      <c r="H6" s="115">
        <v>867626</v>
      </c>
      <c r="I6" s="115">
        <v>897422</v>
      </c>
      <c r="J6" s="115">
        <v>983252</v>
      </c>
      <c r="K6" s="115">
        <v>1079892</v>
      </c>
      <c r="L6" s="115">
        <v>1170854</v>
      </c>
      <c r="M6" s="115">
        <v>1199919</v>
      </c>
      <c r="N6" s="115">
        <v>1187994</v>
      </c>
      <c r="O6" s="115">
        <v>1228256</v>
      </c>
      <c r="P6" s="115">
        <v>1290855</v>
      </c>
      <c r="Q6" s="115">
        <v>1409461</v>
      </c>
      <c r="R6" s="115">
        <v>1480629</v>
      </c>
      <c r="S6" s="115">
        <v>1499624</v>
      </c>
      <c r="T6" s="115">
        <v>73973</v>
      </c>
      <c r="U6" s="115">
        <v>1458258</v>
      </c>
      <c r="V6" s="115">
        <v>1548506</v>
      </c>
      <c r="W6" s="115">
        <v>1569489</v>
      </c>
      <c r="X6" s="115">
        <v>1609693</v>
      </c>
      <c r="Y6" s="115">
        <v>1750860</v>
      </c>
      <c r="Z6" s="115">
        <v>1908135</v>
      </c>
      <c r="AA6" s="115">
        <v>2085904</v>
      </c>
      <c r="AB6" s="115">
        <v>2437384</v>
      </c>
      <c r="AC6" s="115">
        <v>2727783</v>
      </c>
      <c r="AD6" s="115">
        <v>2962010</v>
      </c>
      <c r="AE6" s="115">
        <v>2955435</v>
      </c>
      <c r="AF6" s="115">
        <v>2945356</v>
      </c>
      <c r="AG6" s="115">
        <f>43334+48166+2889113</f>
        <v>2980613</v>
      </c>
      <c r="AH6" s="115">
        <f>46981+35651+3056966</f>
        <v>3139598</v>
      </c>
      <c r="AI6" s="115">
        <f>48978+41319+3107648</f>
        <v>3197945</v>
      </c>
      <c r="AJ6" s="115">
        <f>48996+27151+3229100</f>
        <v>3305247</v>
      </c>
      <c r="AK6" s="115">
        <v>3454549</v>
      </c>
      <c r="AL6" s="115">
        <v>3549593</v>
      </c>
      <c r="AM6" s="115">
        <v>3469767</v>
      </c>
      <c r="AN6" s="115">
        <v>3632468</v>
      </c>
      <c r="AO6" s="115">
        <v>3744599</v>
      </c>
      <c r="AP6" s="115">
        <v>3730163</v>
      </c>
      <c r="AQ6" s="115">
        <v>3614277</v>
      </c>
      <c r="AR6" s="115">
        <f>AR4+3540731</f>
        <v>3601591</v>
      </c>
      <c r="AS6" s="115"/>
      <c r="AT6" s="115"/>
      <c r="AU6" s="115"/>
      <c r="AV6" s="115"/>
      <c r="AW6" s="115"/>
      <c r="AX6" s="115"/>
      <c r="AY6" s="115"/>
      <c r="AZ6" s="115"/>
      <c r="BA6" s="115"/>
      <c r="BB6" s="115"/>
    </row>
    <row r="7" spans="2:54">
      <c r="B7" s="362" t="s">
        <v>227</v>
      </c>
      <c r="C7" s="363">
        <v>622333</v>
      </c>
      <c r="D7" s="363">
        <v>653057</v>
      </c>
      <c r="E7" s="363">
        <v>707448</v>
      </c>
      <c r="F7" s="363">
        <v>768612</v>
      </c>
      <c r="G7" s="363">
        <v>814514</v>
      </c>
      <c r="H7" s="363">
        <v>867626</v>
      </c>
      <c r="I7" s="363">
        <v>931680</v>
      </c>
      <c r="J7" s="363">
        <v>1022932</v>
      </c>
      <c r="K7" s="363">
        <v>1079892</v>
      </c>
      <c r="L7" s="363">
        <v>1170854</v>
      </c>
      <c r="M7" s="363">
        <v>1199919</v>
      </c>
      <c r="N7" s="363">
        <v>1333787</v>
      </c>
      <c r="O7" s="363">
        <v>1395473</v>
      </c>
      <c r="P7" s="363">
        <v>1436203</v>
      </c>
      <c r="Q7" s="363">
        <v>1486060</v>
      </c>
      <c r="R7" s="363">
        <v>1636193</v>
      </c>
      <c r="S7" s="363">
        <v>1666115</v>
      </c>
      <c r="T7" s="363">
        <v>1719044</v>
      </c>
      <c r="U7" s="363">
        <v>1636375</v>
      </c>
      <c r="V7" s="363">
        <v>1762843</v>
      </c>
      <c r="W7" s="363">
        <v>1826087</v>
      </c>
      <c r="X7" s="363">
        <v>1825486</v>
      </c>
      <c r="Y7" s="363">
        <v>2058837</v>
      </c>
      <c r="Z7" s="363">
        <v>2153557</v>
      </c>
      <c r="AA7" s="363">
        <v>2351865</v>
      </c>
      <c r="AB7" s="363">
        <v>2594233</v>
      </c>
      <c r="AC7" s="363">
        <v>2873357</v>
      </c>
      <c r="AD7" s="363">
        <v>3112800</v>
      </c>
      <c r="AE7" s="363">
        <v>3124828</v>
      </c>
      <c r="AF7" s="363">
        <v>3100923</v>
      </c>
      <c r="AG7" s="363">
        <v>3139539</v>
      </c>
      <c r="AH7" s="363">
        <v>3335011</v>
      </c>
      <c r="AI7" s="363">
        <v>3407851</v>
      </c>
      <c r="AJ7" s="363">
        <v>3522886</v>
      </c>
      <c r="AK7" s="363">
        <v>3701927</v>
      </c>
      <c r="AL7" s="363">
        <v>3825833</v>
      </c>
      <c r="AM7" s="363">
        <v>3758534</v>
      </c>
      <c r="AN7" s="363">
        <v>3888659</v>
      </c>
      <c r="AO7" s="363">
        <v>4006078</v>
      </c>
      <c r="AP7" s="363">
        <v>4039831</v>
      </c>
      <c r="AQ7" s="363">
        <v>3927242</v>
      </c>
      <c r="AR7" s="363">
        <v>4010165</v>
      </c>
      <c r="AS7" s="363"/>
      <c r="AT7" s="363"/>
      <c r="AU7" s="363"/>
      <c r="AV7" s="363"/>
      <c r="AW7" s="363"/>
      <c r="AX7" s="363"/>
      <c r="AY7" s="363"/>
      <c r="AZ7" s="363"/>
      <c r="BA7" s="363"/>
      <c r="BB7" s="363"/>
    </row>
    <row r="9" spans="2:54">
      <c r="B9" s="108" t="s">
        <v>228</v>
      </c>
      <c r="C9" s="109">
        <v>372218</v>
      </c>
      <c r="D9" s="109">
        <v>386448</v>
      </c>
      <c r="E9" s="109">
        <v>404123</v>
      </c>
      <c r="F9" s="109">
        <v>436283</v>
      </c>
      <c r="G9" s="109">
        <v>459149</v>
      </c>
      <c r="H9" s="109">
        <v>494386</v>
      </c>
      <c r="I9" s="109">
        <v>525319</v>
      </c>
      <c r="J9" s="109">
        <v>576278</v>
      </c>
      <c r="K9" s="109">
        <v>459313</v>
      </c>
      <c r="L9" s="109">
        <v>651944</v>
      </c>
      <c r="M9" s="109">
        <v>631237</v>
      </c>
      <c r="N9" s="109">
        <v>721368</v>
      </c>
      <c r="O9" s="109">
        <v>739530</v>
      </c>
      <c r="P9" s="109">
        <v>759277</v>
      </c>
      <c r="Q9" s="109">
        <v>465132</v>
      </c>
      <c r="R9" s="109">
        <v>751364</v>
      </c>
      <c r="S9" s="109">
        <v>690559</v>
      </c>
      <c r="T9" s="109">
        <v>563245</v>
      </c>
      <c r="U9" s="109">
        <v>587981</v>
      </c>
      <c r="V9" s="109">
        <v>618678</v>
      </c>
      <c r="W9" s="109">
        <v>687082</v>
      </c>
      <c r="X9" s="109">
        <v>606848</v>
      </c>
      <c r="Y9" s="109">
        <v>772431</v>
      </c>
      <c r="Z9" s="109">
        <v>817783</v>
      </c>
      <c r="AA9" s="109">
        <v>956017</v>
      </c>
      <c r="AB9" s="109">
        <v>1171482</v>
      </c>
      <c r="AC9" s="109">
        <v>1359436</v>
      </c>
      <c r="AD9" s="109">
        <v>1505819</v>
      </c>
      <c r="AE9" s="109">
        <v>1482416</v>
      </c>
      <c r="AF9" s="109">
        <v>1426694</v>
      </c>
      <c r="AG9" s="109">
        <v>1408527</v>
      </c>
      <c r="AH9" s="109">
        <v>1232336</v>
      </c>
      <c r="AI9" s="109">
        <v>851820</v>
      </c>
      <c r="AJ9" s="109">
        <v>1653683</v>
      </c>
      <c r="AK9" s="109">
        <v>1078085</v>
      </c>
      <c r="AL9" s="109">
        <v>1128870</v>
      </c>
      <c r="AM9" s="109">
        <v>621306</v>
      </c>
      <c r="AN9" s="109">
        <v>746133</v>
      </c>
      <c r="AO9" s="109">
        <v>848933</v>
      </c>
      <c r="AP9" s="109">
        <v>860457</v>
      </c>
      <c r="AQ9" s="109">
        <v>680953</v>
      </c>
      <c r="AR9" s="109">
        <v>578870</v>
      </c>
      <c r="AS9" s="109"/>
      <c r="AT9" s="109"/>
      <c r="AU9" s="109"/>
      <c r="AV9" s="109"/>
      <c r="AW9" s="109"/>
      <c r="AX9" s="109"/>
      <c r="AY9" s="109"/>
      <c r="AZ9" s="109"/>
      <c r="BA9" s="109"/>
      <c r="BB9" s="109"/>
    </row>
    <row r="10" spans="2:54">
      <c r="B10" s="361" t="s">
        <v>136</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row>
    <row r="11" spans="2:54">
      <c r="B11" s="110" t="s">
        <v>229</v>
      </c>
      <c r="C11" s="363">
        <v>374944</v>
      </c>
      <c r="D11" s="363">
        <v>389568</v>
      </c>
      <c r="E11" s="363">
        <v>406516</v>
      </c>
      <c r="F11" s="363">
        <v>438057</v>
      </c>
      <c r="G11" s="363">
        <v>459313</v>
      </c>
      <c r="H11" s="363">
        <v>494386</v>
      </c>
      <c r="I11" s="363">
        <v>525319</v>
      </c>
      <c r="J11" s="363">
        <v>576278</v>
      </c>
      <c r="K11" s="363">
        <v>590046</v>
      </c>
      <c r="L11" s="363">
        <v>651944</v>
      </c>
      <c r="M11" s="363">
        <v>631237</v>
      </c>
      <c r="N11" s="363">
        <v>721368</v>
      </c>
      <c r="O11" s="363">
        <v>739530</v>
      </c>
      <c r="P11" s="363">
        <v>759277</v>
      </c>
      <c r="Q11" s="363">
        <v>760825</v>
      </c>
      <c r="R11" s="363">
        <v>859146</v>
      </c>
      <c r="S11" s="363">
        <v>820922</v>
      </c>
      <c r="T11" s="363">
        <v>859439</v>
      </c>
      <c r="U11" s="363">
        <v>717593</v>
      </c>
      <c r="V11" s="363">
        <v>750173</v>
      </c>
      <c r="W11" s="363">
        <v>687082</v>
      </c>
      <c r="X11" s="363">
        <v>606848</v>
      </c>
      <c r="Y11" s="363">
        <v>772431</v>
      </c>
      <c r="Z11" s="363">
        <v>817783</v>
      </c>
      <c r="AA11" s="363">
        <v>956017</v>
      </c>
      <c r="AB11" s="363">
        <v>1171482</v>
      </c>
      <c r="AC11" s="363">
        <v>1359436</v>
      </c>
      <c r="AD11" s="363">
        <v>1505819</v>
      </c>
      <c r="AE11" s="363">
        <v>1482416</v>
      </c>
      <c r="AF11" s="363">
        <v>1426694</v>
      </c>
      <c r="AG11" s="363">
        <f>AG9</f>
        <v>1408527</v>
      </c>
      <c r="AH11" s="363">
        <f>AH9+300000</f>
        <v>1532336</v>
      </c>
      <c r="AI11" s="363">
        <f>AI9+700000</f>
        <v>1551820</v>
      </c>
      <c r="AJ11" s="363">
        <f>AJ9</f>
        <v>1653683</v>
      </c>
      <c r="AK11" s="363">
        <f>1078085+700000</f>
        <v>1778085</v>
      </c>
      <c r="AL11" s="363">
        <v>1828870</v>
      </c>
      <c r="AM11" s="363">
        <v>1721306</v>
      </c>
      <c r="AN11" s="363">
        <f>746133+1100000</f>
        <v>1846133</v>
      </c>
      <c r="AO11" s="363">
        <f>848933+1100000</f>
        <v>1948933</v>
      </c>
      <c r="AP11" s="363">
        <f>860457+1100000</f>
        <v>1960457</v>
      </c>
      <c r="AQ11" s="363">
        <f>680953+1150000</f>
        <v>1830953</v>
      </c>
      <c r="AR11" s="363">
        <v>1907751</v>
      </c>
      <c r="AS11" s="363"/>
      <c r="AT11" s="363"/>
      <c r="AU11" s="363"/>
      <c r="AV11" s="363"/>
      <c r="AW11" s="363"/>
      <c r="AX11" s="363"/>
      <c r="AY11" s="363"/>
      <c r="AZ11" s="363"/>
      <c r="BA11" s="363"/>
      <c r="BB11" s="363"/>
    </row>
    <row r="12" spans="2:54">
      <c r="B12" s="110" t="s">
        <v>230</v>
      </c>
      <c r="C12" s="363">
        <v>247389</v>
      </c>
      <c r="D12" s="363">
        <v>263489</v>
      </c>
      <c r="E12" s="363">
        <v>300932</v>
      </c>
      <c r="F12" s="363">
        <v>330555</v>
      </c>
      <c r="G12" s="363">
        <v>355201</v>
      </c>
      <c r="H12" s="363">
        <v>373240</v>
      </c>
      <c r="I12" s="363">
        <v>406361</v>
      </c>
      <c r="J12" s="363">
        <v>446654</v>
      </c>
      <c r="K12" s="363">
        <v>489846</v>
      </c>
      <c r="L12" s="363">
        <v>518910</v>
      </c>
      <c r="M12" s="363">
        <v>568682</v>
      </c>
      <c r="N12" s="363">
        <v>612419</v>
      </c>
      <c r="O12" s="363">
        <v>655943</v>
      </c>
      <c r="P12" s="363">
        <v>676926</v>
      </c>
      <c r="Q12" s="363">
        <v>725235</v>
      </c>
      <c r="R12" s="363">
        <v>777047</v>
      </c>
      <c r="S12" s="363">
        <v>845193</v>
      </c>
      <c r="T12" s="363">
        <v>859605</v>
      </c>
      <c r="U12" s="363">
        <v>918782</v>
      </c>
      <c r="V12" s="363">
        <v>1012670</v>
      </c>
      <c r="W12" s="363">
        <v>1139005</v>
      </c>
      <c r="X12" s="363">
        <v>1218638</v>
      </c>
      <c r="Y12" s="363">
        <v>1286406</v>
      </c>
      <c r="Z12" s="363">
        <v>1335774</v>
      </c>
      <c r="AA12" s="363">
        <v>1395848</v>
      </c>
      <c r="AB12" s="363">
        <v>1422751</v>
      </c>
      <c r="AC12" s="363">
        <v>1513921</v>
      </c>
      <c r="AD12" s="363">
        <v>1606981</v>
      </c>
      <c r="AE12" s="363">
        <v>1642412</v>
      </c>
      <c r="AF12" s="363">
        <v>1674229</v>
      </c>
      <c r="AG12" s="363">
        <v>1731012</v>
      </c>
      <c r="AH12" s="363">
        <v>1802675</v>
      </c>
      <c r="AI12" s="363">
        <v>1856031</v>
      </c>
      <c r="AJ12" s="363">
        <v>1869203</v>
      </c>
      <c r="AK12" s="363">
        <v>1923842</v>
      </c>
      <c r="AL12" s="363">
        <v>1996963</v>
      </c>
      <c r="AM12" s="363">
        <v>2037228</v>
      </c>
      <c r="AN12" s="363">
        <v>2042526</v>
      </c>
      <c r="AO12" s="363">
        <v>2057145</v>
      </c>
      <c r="AP12" s="363">
        <v>2079374</v>
      </c>
      <c r="AQ12" s="363">
        <v>2096289</v>
      </c>
      <c r="AR12" s="363">
        <v>2102414</v>
      </c>
      <c r="AS12" s="363"/>
      <c r="AT12" s="363"/>
      <c r="AU12" s="363"/>
      <c r="AV12" s="363"/>
      <c r="AW12" s="363"/>
      <c r="AX12" s="363"/>
      <c r="AY12" s="363"/>
      <c r="AZ12" s="363"/>
      <c r="BA12" s="363"/>
      <c r="BB12" s="363"/>
    </row>
    <row r="13" spans="2:54">
      <c r="B13" s="110" t="s">
        <v>231</v>
      </c>
      <c r="C13" s="156">
        <f t="shared" ref="C13:K13" si="34">C11+C12</f>
        <v>622333</v>
      </c>
      <c r="D13" s="156">
        <f t="shared" si="34"/>
        <v>653057</v>
      </c>
      <c r="E13" s="156">
        <f t="shared" si="34"/>
        <v>707448</v>
      </c>
      <c r="F13" s="156">
        <f t="shared" si="34"/>
        <v>768612</v>
      </c>
      <c r="G13" s="156">
        <f t="shared" si="34"/>
        <v>814514</v>
      </c>
      <c r="H13" s="156">
        <f t="shared" si="34"/>
        <v>867626</v>
      </c>
      <c r="I13" s="156">
        <f t="shared" si="34"/>
        <v>931680</v>
      </c>
      <c r="J13" s="156">
        <f t="shared" si="34"/>
        <v>1022932</v>
      </c>
      <c r="K13" s="156">
        <f t="shared" si="34"/>
        <v>1079892</v>
      </c>
      <c r="L13" s="156">
        <f t="shared" ref="L13:M13" si="35">L11+L12</f>
        <v>1170854</v>
      </c>
      <c r="M13" s="156">
        <f t="shared" si="35"/>
        <v>1199919</v>
      </c>
      <c r="N13" s="156">
        <f t="shared" ref="N13:O13" si="36">N11+N12</f>
        <v>1333787</v>
      </c>
      <c r="O13" s="156">
        <f t="shared" si="36"/>
        <v>1395473</v>
      </c>
      <c r="P13" s="156">
        <f t="shared" ref="P13:U13" si="37">P11+P12</f>
        <v>1436203</v>
      </c>
      <c r="Q13" s="156">
        <f t="shared" si="37"/>
        <v>1486060</v>
      </c>
      <c r="R13" s="156">
        <f t="shared" si="37"/>
        <v>1636193</v>
      </c>
      <c r="S13" s="156">
        <f t="shared" si="37"/>
        <v>1666115</v>
      </c>
      <c r="T13" s="156">
        <f t="shared" si="37"/>
        <v>1719044</v>
      </c>
      <c r="U13" s="156">
        <f t="shared" si="37"/>
        <v>1636375</v>
      </c>
      <c r="V13" s="156">
        <f t="shared" ref="V13:W13" si="38">V11+V12</f>
        <v>1762843</v>
      </c>
      <c r="W13" s="156">
        <f t="shared" si="38"/>
        <v>1826087</v>
      </c>
      <c r="X13" s="156">
        <f t="shared" ref="X13" si="39">X11+X12</f>
        <v>1825486</v>
      </c>
      <c r="Y13" s="156">
        <f t="shared" ref="Y13:Z13" si="40">Y11+Y12</f>
        <v>2058837</v>
      </c>
      <c r="Z13" s="156">
        <f t="shared" si="40"/>
        <v>2153557</v>
      </c>
      <c r="AA13" s="156">
        <f t="shared" ref="AA13:AB13" si="41">AA11+AA12</f>
        <v>2351865</v>
      </c>
      <c r="AB13" s="156">
        <f t="shared" si="41"/>
        <v>2594233</v>
      </c>
      <c r="AC13" s="156">
        <f t="shared" ref="AC13:AL13" si="42">AC11+AC12</f>
        <v>2873357</v>
      </c>
      <c r="AD13" s="156">
        <f t="shared" si="42"/>
        <v>3112800</v>
      </c>
      <c r="AE13" s="156">
        <f t="shared" si="42"/>
        <v>3124828</v>
      </c>
      <c r="AF13" s="156">
        <f t="shared" si="42"/>
        <v>3100923</v>
      </c>
      <c r="AG13" s="156">
        <f t="shared" si="42"/>
        <v>3139539</v>
      </c>
      <c r="AH13" s="156">
        <f t="shared" si="42"/>
        <v>3335011</v>
      </c>
      <c r="AI13" s="156">
        <f t="shared" si="42"/>
        <v>3407851</v>
      </c>
      <c r="AJ13" s="156">
        <f t="shared" si="42"/>
        <v>3522886</v>
      </c>
      <c r="AK13" s="156">
        <f t="shared" si="42"/>
        <v>3701927</v>
      </c>
      <c r="AL13" s="156">
        <f t="shared" si="42"/>
        <v>3825833</v>
      </c>
      <c r="AM13" s="156">
        <f t="shared" ref="AM13:BB13" si="43">AM11+AM12</f>
        <v>3758534</v>
      </c>
      <c r="AN13" s="156">
        <f t="shared" si="43"/>
        <v>3888659</v>
      </c>
      <c r="AO13" s="156">
        <f t="shared" si="43"/>
        <v>4006078</v>
      </c>
      <c r="AP13" s="156">
        <f t="shared" si="43"/>
        <v>4039831</v>
      </c>
      <c r="AQ13" s="156">
        <f t="shared" si="43"/>
        <v>3927242</v>
      </c>
      <c r="AR13" s="156">
        <f t="shared" si="43"/>
        <v>4010165</v>
      </c>
      <c r="AS13" s="156">
        <f t="shared" si="43"/>
        <v>0</v>
      </c>
      <c r="AT13" s="156">
        <f t="shared" si="43"/>
        <v>0</v>
      </c>
      <c r="AU13" s="156">
        <f t="shared" si="43"/>
        <v>0</v>
      </c>
      <c r="AV13" s="156">
        <f t="shared" si="43"/>
        <v>0</v>
      </c>
      <c r="AW13" s="156">
        <f t="shared" si="43"/>
        <v>0</v>
      </c>
      <c r="AX13" s="156">
        <f t="shared" si="43"/>
        <v>0</v>
      </c>
      <c r="AY13" s="156">
        <f t="shared" si="43"/>
        <v>0</v>
      </c>
      <c r="AZ13" s="156">
        <f t="shared" si="43"/>
        <v>0</v>
      </c>
      <c r="BA13" s="156">
        <f t="shared" si="43"/>
        <v>0</v>
      </c>
      <c r="BB13" s="156">
        <f t="shared" si="43"/>
        <v>0</v>
      </c>
    </row>
    <row r="15" spans="2:54">
      <c r="B15" s="324" t="s">
        <v>232</v>
      </c>
      <c r="C15" s="157">
        <f t="shared" ref="C15:BB15" si="44">C7-C13</f>
        <v>0</v>
      </c>
      <c r="D15" s="157">
        <f t="shared" si="44"/>
        <v>0</v>
      </c>
      <c r="E15" s="157">
        <f t="shared" si="44"/>
        <v>0</v>
      </c>
      <c r="F15" s="157">
        <f t="shared" si="44"/>
        <v>0</v>
      </c>
      <c r="G15" s="157">
        <f t="shared" si="44"/>
        <v>0</v>
      </c>
      <c r="H15" s="157">
        <f t="shared" si="44"/>
        <v>0</v>
      </c>
      <c r="I15" s="157">
        <f t="shared" si="44"/>
        <v>0</v>
      </c>
      <c r="J15" s="157">
        <f t="shared" si="44"/>
        <v>0</v>
      </c>
      <c r="K15" s="157">
        <f t="shared" si="44"/>
        <v>0</v>
      </c>
      <c r="L15" s="157">
        <f t="shared" si="44"/>
        <v>0</v>
      </c>
      <c r="M15" s="157">
        <f t="shared" si="44"/>
        <v>0</v>
      </c>
      <c r="N15" s="157">
        <f t="shared" si="44"/>
        <v>0</v>
      </c>
      <c r="O15" s="157">
        <f t="shared" si="44"/>
        <v>0</v>
      </c>
      <c r="P15" s="157">
        <f t="shared" si="44"/>
        <v>0</v>
      </c>
      <c r="Q15" s="157">
        <f t="shared" si="44"/>
        <v>0</v>
      </c>
      <c r="R15" s="157">
        <f t="shared" si="44"/>
        <v>0</v>
      </c>
      <c r="S15" s="157">
        <f t="shared" si="44"/>
        <v>0</v>
      </c>
      <c r="T15" s="157">
        <f t="shared" si="44"/>
        <v>0</v>
      </c>
      <c r="U15" s="157">
        <f t="shared" si="44"/>
        <v>0</v>
      </c>
      <c r="V15" s="157">
        <f t="shared" si="44"/>
        <v>0</v>
      </c>
      <c r="W15" s="157">
        <f t="shared" si="44"/>
        <v>0</v>
      </c>
      <c r="X15" s="157">
        <f t="shared" si="44"/>
        <v>0</v>
      </c>
      <c r="Y15" s="157">
        <f t="shared" si="44"/>
        <v>0</v>
      </c>
      <c r="Z15" s="157">
        <f t="shared" si="44"/>
        <v>0</v>
      </c>
      <c r="AA15" s="157">
        <f t="shared" si="44"/>
        <v>0</v>
      </c>
      <c r="AB15" s="157">
        <f t="shared" si="44"/>
        <v>0</v>
      </c>
      <c r="AC15" s="157">
        <f t="shared" si="44"/>
        <v>0</v>
      </c>
      <c r="AD15" s="157">
        <f t="shared" si="44"/>
        <v>0</v>
      </c>
      <c r="AE15" s="157">
        <f t="shared" si="44"/>
        <v>0</v>
      </c>
      <c r="AF15" s="157">
        <f t="shared" si="44"/>
        <v>0</v>
      </c>
      <c r="AG15" s="157">
        <f t="shared" si="44"/>
        <v>0</v>
      </c>
      <c r="AH15" s="157">
        <f t="shared" si="44"/>
        <v>0</v>
      </c>
      <c r="AI15" s="157">
        <f t="shared" si="44"/>
        <v>0</v>
      </c>
      <c r="AJ15" s="157">
        <f t="shared" si="44"/>
        <v>0</v>
      </c>
      <c r="AK15" s="157">
        <f t="shared" si="44"/>
        <v>0</v>
      </c>
      <c r="AL15" s="157">
        <f t="shared" si="44"/>
        <v>0</v>
      </c>
      <c r="AM15" s="157">
        <f t="shared" si="44"/>
        <v>0</v>
      </c>
      <c r="AN15" s="157">
        <f t="shared" si="44"/>
        <v>0</v>
      </c>
      <c r="AO15" s="157">
        <f t="shared" si="44"/>
        <v>0</v>
      </c>
      <c r="AP15" s="157">
        <f t="shared" si="44"/>
        <v>0</v>
      </c>
      <c r="AQ15" s="157">
        <f t="shared" si="44"/>
        <v>0</v>
      </c>
      <c r="AR15" s="157">
        <f t="shared" si="44"/>
        <v>0</v>
      </c>
      <c r="AS15" s="157">
        <f t="shared" si="44"/>
        <v>0</v>
      </c>
      <c r="AT15" s="157">
        <f t="shared" si="44"/>
        <v>0</v>
      </c>
      <c r="AU15" s="157">
        <f t="shared" si="44"/>
        <v>0</v>
      </c>
      <c r="AV15" s="157">
        <f t="shared" si="44"/>
        <v>0</v>
      </c>
      <c r="AW15" s="157">
        <f t="shared" si="44"/>
        <v>0</v>
      </c>
      <c r="AX15" s="157">
        <f t="shared" si="44"/>
        <v>0</v>
      </c>
      <c r="AY15" s="157">
        <f t="shared" si="44"/>
        <v>0</v>
      </c>
      <c r="AZ15" s="157">
        <f t="shared" si="44"/>
        <v>0</v>
      </c>
      <c r="BA15" s="157">
        <f t="shared" si="44"/>
        <v>0</v>
      </c>
      <c r="BB15" s="157">
        <f t="shared" si="44"/>
        <v>0</v>
      </c>
    </row>
    <row r="17" spans="2:54">
      <c r="B17" s="245" t="s">
        <v>233</v>
      </c>
      <c r="C17" s="440">
        <f t="shared" ref="C17:O17" si="45">C3</f>
        <v>42369</v>
      </c>
      <c r="D17" s="440">
        <f t="shared" si="45"/>
        <v>42460</v>
      </c>
      <c r="E17" s="440">
        <f t="shared" si="45"/>
        <v>42551</v>
      </c>
      <c r="F17" s="440">
        <f t="shared" si="45"/>
        <v>42643</v>
      </c>
      <c r="G17" s="440">
        <f t="shared" si="45"/>
        <v>42735</v>
      </c>
      <c r="H17" s="440">
        <f t="shared" si="45"/>
        <v>42825</v>
      </c>
      <c r="I17" s="440">
        <f t="shared" si="45"/>
        <v>42916</v>
      </c>
      <c r="J17" s="440">
        <f t="shared" si="45"/>
        <v>43008</v>
      </c>
      <c r="K17" s="440">
        <f t="shared" si="45"/>
        <v>43100</v>
      </c>
      <c r="L17" s="440">
        <f t="shared" si="45"/>
        <v>43190</v>
      </c>
      <c r="M17" s="440">
        <f t="shared" si="45"/>
        <v>43281</v>
      </c>
      <c r="N17" s="440">
        <f t="shared" si="45"/>
        <v>43373</v>
      </c>
      <c r="O17" s="440">
        <f t="shared" si="45"/>
        <v>43465</v>
      </c>
      <c r="P17" s="482">
        <f t="shared" ref="P17:U17" si="46">EOMONTH(O17,3)</f>
        <v>43555</v>
      </c>
      <c r="Q17" s="482">
        <f t="shared" si="46"/>
        <v>43646</v>
      </c>
      <c r="R17" s="482">
        <f t="shared" si="46"/>
        <v>43738</v>
      </c>
      <c r="S17" s="482">
        <f t="shared" si="46"/>
        <v>43830</v>
      </c>
      <c r="T17" s="482">
        <f t="shared" si="46"/>
        <v>43921</v>
      </c>
      <c r="U17" s="482">
        <f t="shared" si="46"/>
        <v>44012</v>
      </c>
      <c r="V17" s="482">
        <f t="shared" ref="V17" si="47">EOMONTH(U17,3)</f>
        <v>44104</v>
      </c>
      <c r="W17" s="482">
        <f t="shared" ref="W17" si="48">EOMONTH(V17,3)</f>
        <v>44196</v>
      </c>
      <c r="X17" s="482">
        <f t="shared" ref="X17" si="49">EOMONTH(W17,3)</f>
        <v>44286</v>
      </c>
      <c r="Y17" s="482">
        <f t="shared" ref="Y17" si="50">EOMONTH(X17,3)</f>
        <v>44377</v>
      </c>
      <c r="Z17" s="482">
        <f t="shared" ref="Z17:AC17" si="51">EOMONTH(Y17,3)</f>
        <v>44469</v>
      </c>
      <c r="AA17" s="482">
        <f t="shared" ref="AA17" si="52">EOMONTH(Z17,3)</f>
        <v>44561</v>
      </c>
      <c r="AB17" s="482">
        <f t="shared" si="51"/>
        <v>44651</v>
      </c>
      <c r="AC17" s="482">
        <f t="shared" si="51"/>
        <v>44742</v>
      </c>
      <c r="AD17" s="482">
        <f t="shared" ref="AD17" si="53">EOMONTH(AC17,3)</f>
        <v>44834</v>
      </c>
      <c r="AE17" s="482">
        <f t="shared" ref="AE17" si="54">EOMONTH(AD17,3)</f>
        <v>44926</v>
      </c>
      <c r="AF17" s="482">
        <f t="shared" ref="AF17" si="55">EOMONTH(AE17,3)</f>
        <v>45016</v>
      </c>
      <c r="AG17" s="482">
        <f t="shared" ref="AG17" si="56">EOMONTH(AF17,3)</f>
        <v>45107</v>
      </c>
      <c r="AH17" s="482">
        <f t="shared" ref="AH17" si="57">EOMONTH(AG17,3)</f>
        <v>45199</v>
      </c>
      <c r="AI17" s="482">
        <f t="shared" ref="AI17" si="58">EOMONTH(AH17,3)</f>
        <v>45291</v>
      </c>
      <c r="AJ17" s="482">
        <f t="shared" ref="AJ17" si="59">EOMONTH(AI17,3)</f>
        <v>45382</v>
      </c>
      <c r="AK17" s="482">
        <f t="shared" ref="AK17" si="60">EOMONTH(AJ17,3)</f>
        <v>45473</v>
      </c>
      <c r="AL17" s="482">
        <f t="shared" ref="AL17" si="61">EOMONTH(AK17,3)</f>
        <v>45565</v>
      </c>
      <c r="AM17" s="482">
        <f t="shared" ref="AM17" si="62">EOMONTH(AL17,3)</f>
        <v>45657</v>
      </c>
      <c r="AN17" s="482">
        <f t="shared" ref="AN17" si="63">EOMONTH(AM17,3)</f>
        <v>45747</v>
      </c>
      <c r="AO17" s="482">
        <f t="shared" ref="AO17" si="64">EOMONTH(AN17,3)</f>
        <v>45838</v>
      </c>
      <c r="AP17" s="482">
        <f t="shared" ref="AP17" si="65">EOMONTH(AO17,3)</f>
        <v>45930</v>
      </c>
      <c r="AQ17" s="482">
        <f t="shared" ref="AQ17" si="66">EOMONTH(AP17,3)</f>
        <v>46022</v>
      </c>
      <c r="AR17" s="482">
        <f t="shared" ref="AR17" si="67">EOMONTH(AQ17,3)</f>
        <v>46112</v>
      </c>
      <c r="AS17" s="482">
        <f t="shared" ref="AS17" si="68">EOMONTH(AR17,3)</f>
        <v>46203</v>
      </c>
      <c r="AT17" s="482">
        <f t="shared" ref="AT17" si="69">EOMONTH(AS17,3)</f>
        <v>46295</v>
      </c>
      <c r="AU17" s="482">
        <f t="shared" ref="AU17" si="70">EOMONTH(AT17,3)</f>
        <v>46387</v>
      </c>
      <c r="AV17" s="482">
        <f t="shared" ref="AV17" si="71">EOMONTH(AU17,3)</f>
        <v>46477</v>
      </c>
      <c r="AW17" s="482">
        <f t="shared" ref="AW17" si="72">EOMONTH(AV17,3)</f>
        <v>46568</v>
      </c>
      <c r="AX17" s="482">
        <f t="shared" ref="AX17" si="73">EOMONTH(AW17,3)</f>
        <v>46660</v>
      </c>
      <c r="AY17" s="482">
        <f t="shared" ref="AY17" si="74">EOMONTH(AX17,3)</f>
        <v>46752</v>
      </c>
      <c r="AZ17" s="482">
        <f t="shared" ref="AZ17" si="75">EOMONTH(AY17,3)</f>
        <v>46843</v>
      </c>
      <c r="BA17" s="482">
        <f t="shared" ref="BA17" si="76">EOMONTH(AZ17,3)</f>
        <v>46934</v>
      </c>
      <c r="BB17" s="482">
        <f t="shared" ref="BB17" si="77">EOMONTH(BA17,3)</f>
        <v>47026</v>
      </c>
    </row>
    <row r="18" spans="2:54">
      <c r="B18" s="110" t="s">
        <v>234</v>
      </c>
    </row>
    <row r="19" spans="2:54">
      <c r="B19" s="371" t="s">
        <v>235</v>
      </c>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row>
    <row r="20" spans="2:54">
      <c r="B20" s="371" t="s">
        <v>236</v>
      </c>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row>
    <row r="21" spans="2:54">
      <c r="B21" s="371" t="s">
        <v>237</v>
      </c>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row>
    <row r="22" spans="2:54">
      <c r="B22" s="371" t="s">
        <v>155</v>
      </c>
      <c r="C22" s="115">
        <v>320320</v>
      </c>
      <c r="D22" s="115">
        <v>336930</v>
      </c>
      <c r="E22" s="115">
        <v>381169</v>
      </c>
      <c r="F22" s="115">
        <v>424831</v>
      </c>
      <c r="G22" s="115">
        <v>477461</v>
      </c>
      <c r="H22" s="115">
        <v>490685</v>
      </c>
      <c r="I22" s="115">
        <v>466526</v>
      </c>
      <c r="J22" s="115">
        <v>473754</v>
      </c>
      <c r="K22" s="115">
        <v>494552</v>
      </c>
      <c r="L22" s="115">
        <v>542230</v>
      </c>
      <c r="M22" s="115">
        <v>582872</v>
      </c>
      <c r="N22" s="115">
        <v>647580</v>
      </c>
      <c r="O22" s="115">
        <v>736402</v>
      </c>
      <c r="P22" s="115">
        <v>780057</v>
      </c>
      <c r="Q22" s="115"/>
      <c r="R22" s="115">
        <v>831448</v>
      </c>
      <c r="S22" s="115"/>
      <c r="T22" s="115"/>
      <c r="U22" s="115">
        <v>944151</v>
      </c>
      <c r="V22" s="115">
        <v>866723</v>
      </c>
      <c r="W22" s="115"/>
      <c r="X22" s="115">
        <v>1031117</v>
      </c>
      <c r="Y22" s="115">
        <v>1105388</v>
      </c>
      <c r="Z22" s="115">
        <v>1211693</v>
      </c>
      <c r="AA22" s="115">
        <v>1499761</v>
      </c>
      <c r="AB22" s="115">
        <v>1625290</v>
      </c>
      <c r="AC22" s="115">
        <v>1776558</v>
      </c>
      <c r="AD22" s="115">
        <v>1882335</v>
      </c>
      <c r="AE22" s="115">
        <v>1911307</v>
      </c>
      <c r="AF22" s="601">
        <v>1922275</v>
      </c>
      <c r="AG22" s="115">
        <v>1934555</v>
      </c>
      <c r="AH22" s="422">
        <v>1956477</v>
      </c>
      <c r="AI22" s="422">
        <v>2099133</v>
      </c>
      <c r="AJ22" s="115">
        <v>2145846</v>
      </c>
      <c r="AK22" s="115"/>
      <c r="AL22" s="115"/>
      <c r="AM22" s="115"/>
      <c r="AN22" s="115"/>
      <c r="AO22" s="115"/>
      <c r="AP22" s="115"/>
      <c r="AQ22" s="115"/>
      <c r="AR22" s="115"/>
      <c r="AS22" s="115"/>
      <c r="AT22" s="115"/>
      <c r="AU22" s="115"/>
      <c r="AV22" s="115"/>
      <c r="AW22" s="115"/>
      <c r="AX22" s="115"/>
      <c r="AY22" s="115"/>
      <c r="AZ22" s="115"/>
      <c r="BA22" s="115"/>
      <c r="BB22" s="115"/>
    </row>
    <row r="23" spans="2:54">
      <c r="B23" s="110" t="s">
        <v>238</v>
      </c>
      <c r="C23" s="156">
        <f>SUM(C19:C22)</f>
        <v>320320</v>
      </c>
      <c r="D23" s="156">
        <f t="shared" ref="D23:J23" si="78">SUM(D19:D22)</f>
        <v>336930</v>
      </c>
      <c r="E23" s="156">
        <f t="shared" si="78"/>
        <v>381169</v>
      </c>
      <c r="F23" s="156">
        <f t="shared" si="78"/>
        <v>424831</v>
      </c>
      <c r="G23" s="156">
        <f t="shared" si="78"/>
        <v>477461</v>
      </c>
      <c r="H23" s="156">
        <f t="shared" si="78"/>
        <v>490685</v>
      </c>
      <c r="I23" s="156">
        <f t="shared" si="78"/>
        <v>466526</v>
      </c>
      <c r="J23" s="156">
        <f t="shared" si="78"/>
        <v>473754</v>
      </c>
      <c r="K23" s="156">
        <f t="shared" ref="K23:P23" si="79">SUM(K19:K22)</f>
        <v>494552</v>
      </c>
      <c r="L23" s="156">
        <f t="shared" si="79"/>
        <v>542230</v>
      </c>
      <c r="M23" s="156">
        <f t="shared" si="79"/>
        <v>582872</v>
      </c>
      <c r="N23" s="156">
        <f t="shared" si="79"/>
        <v>647580</v>
      </c>
      <c r="O23" s="156">
        <f t="shared" si="79"/>
        <v>736402</v>
      </c>
      <c r="P23" s="156">
        <f t="shared" si="79"/>
        <v>780057</v>
      </c>
      <c r="Q23" s="156">
        <f t="shared" ref="Q23:R23" si="80">SUM(Q19:Q22)</f>
        <v>0</v>
      </c>
      <c r="R23" s="156">
        <f t="shared" si="80"/>
        <v>831448</v>
      </c>
      <c r="S23" s="156">
        <f t="shared" ref="S23:T23" si="81">SUM(S19:S22)</f>
        <v>0</v>
      </c>
      <c r="T23" s="156">
        <f t="shared" si="81"/>
        <v>0</v>
      </c>
      <c r="U23" s="156">
        <f t="shared" ref="U23:V23" si="82">SUM(U19:U22)</f>
        <v>944151</v>
      </c>
      <c r="V23" s="156">
        <f t="shared" si="82"/>
        <v>866723</v>
      </c>
      <c r="W23" s="156">
        <f t="shared" ref="W23:X23" si="83">SUM(W19:W22)</f>
        <v>0</v>
      </c>
      <c r="X23" s="156">
        <f t="shared" si="83"/>
        <v>1031117</v>
      </c>
      <c r="Y23" s="156">
        <f t="shared" ref="Y23:Z23" si="84">SUM(Y19:Y22)</f>
        <v>1105388</v>
      </c>
      <c r="Z23" s="156">
        <f t="shared" si="84"/>
        <v>1211693</v>
      </c>
      <c r="AA23" s="156">
        <f t="shared" ref="AA23:AB23" si="85">SUM(AA19:AA22)</f>
        <v>1499761</v>
      </c>
      <c r="AB23" s="156">
        <f t="shared" si="85"/>
        <v>1625290</v>
      </c>
      <c r="AC23" s="156">
        <f t="shared" ref="AC23:AL23" si="86">SUM(AC19:AC22)</f>
        <v>1776558</v>
      </c>
      <c r="AD23" s="156">
        <f t="shared" si="86"/>
        <v>1882335</v>
      </c>
      <c r="AE23" s="156">
        <f t="shared" si="86"/>
        <v>1911307</v>
      </c>
      <c r="AF23" s="156">
        <f t="shared" si="86"/>
        <v>1922275</v>
      </c>
      <c r="AG23" s="156">
        <f t="shared" si="86"/>
        <v>1934555</v>
      </c>
      <c r="AH23" s="156">
        <f t="shared" si="86"/>
        <v>1956477</v>
      </c>
      <c r="AI23" s="156">
        <f t="shared" si="86"/>
        <v>2099133</v>
      </c>
      <c r="AJ23" s="156">
        <f t="shared" si="86"/>
        <v>2145846</v>
      </c>
      <c r="AK23" s="156">
        <f t="shared" si="86"/>
        <v>0</v>
      </c>
      <c r="AL23" s="156">
        <f t="shared" si="86"/>
        <v>0</v>
      </c>
      <c r="AM23" s="156">
        <f t="shared" ref="AM23:BB23" si="87">SUM(AM19:AM22)</f>
        <v>0</v>
      </c>
      <c r="AN23" s="156">
        <f t="shared" si="87"/>
        <v>0</v>
      </c>
      <c r="AO23" s="156">
        <f t="shared" si="87"/>
        <v>0</v>
      </c>
      <c r="AP23" s="156">
        <f t="shared" si="87"/>
        <v>0</v>
      </c>
      <c r="AQ23" s="156">
        <f t="shared" si="87"/>
        <v>0</v>
      </c>
      <c r="AR23" s="156">
        <f t="shared" si="87"/>
        <v>0</v>
      </c>
      <c r="AS23" s="156">
        <f t="shared" si="87"/>
        <v>0</v>
      </c>
      <c r="AT23" s="156">
        <f t="shared" si="87"/>
        <v>0</v>
      </c>
      <c r="AU23" s="156">
        <f t="shared" si="87"/>
        <v>0</v>
      </c>
      <c r="AV23" s="156">
        <f t="shared" si="87"/>
        <v>0</v>
      </c>
      <c r="AW23" s="156">
        <f t="shared" si="87"/>
        <v>0</v>
      </c>
      <c r="AX23" s="156">
        <f t="shared" si="87"/>
        <v>0</v>
      </c>
      <c r="AY23" s="156">
        <f t="shared" si="87"/>
        <v>0</v>
      </c>
      <c r="AZ23" s="156">
        <f t="shared" si="87"/>
        <v>0</v>
      </c>
      <c r="BA23" s="156">
        <f t="shared" si="87"/>
        <v>0</v>
      </c>
      <c r="BB23" s="156">
        <f t="shared" si="87"/>
        <v>0</v>
      </c>
    </row>
    <row r="24" spans="2:54">
      <c r="B24" s="426" t="s">
        <v>239</v>
      </c>
      <c r="C24" s="116">
        <f t="shared" ref="C24:K24" si="88">C23/C7</f>
        <v>0.5147083635288503</v>
      </c>
      <c r="D24" s="116">
        <f t="shared" si="88"/>
        <v>0.51592739990536818</v>
      </c>
      <c r="E24" s="116">
        <f t="shared" si="88"/>
        <v>0.53879437075233794</v>
      </c>
      <c r="F24" s="116">
        <f t="shared" si="88"/>
        <v>0.55272491191914774</v>
      </c>
      <c r="G24" s="116">
        <f t="shared" si="88"/>
        <v>0.58619127479699551</v>
      </c>
      <c r="H24" s="116">
        <f t="shared" si="88"/>
        <v>0.56554898078204208</v>
      </c>
      <c r="I24" s="116">
        <f t="shared" si="88"/>
        <v>0.50073630431049287</v>
      </c>
      <c r="J24" s="116">
        <f t="shared" si="88"/>
        <v>0.46313342431363963</v>
      </c>
      <c r="K24" s="116">
        <f t="shared" si="88"/>
        <v>0.4579643149500135</v>
      </c>
      <c r="L24" s="116">
        <f t="shared" ref="L24" si="89">L23/L7</f>
        <v>0.46310641634225957</v>
      </c>
      <c r="M24" s="116">
        <f t="shared" ref="M24" si="90">M23/M7</f>
        <v>0.48575945542990817</v>
      </c>
      <c r="N24" s="116">
        <f t="shared" ref="N24:O24" si="91">N23/N7</f>
        <v>0.48551980188740779</v>
      </c>
      <c r="O24" s="116">
        <f t="shared" si="91"/>
        <v>0.52770780946675433</v>
      </c>
      <c r="P24" s="116">
        <f t="shared" ref="P24:Q24" si="92">P23/P7</f>
        <v>0.54313840035148231</v>
      </c>
      <c r="Q24" s="116">
        <f t="shared" si="92"/>
        <v>0</v>
      </c>
      <c r="R24" s="116">
        <f t="shared" ref="R24" si="93">R23/R7</f>
        <v>0.50816010091719011</v>
      </c>
      <c r="S24" s="116">
        <f t="shared" ref="S24:T24" si="94">S23/S7</f>
        <v>0</v>
      </c>
      <c r="T24" s="116">
        <f t="shared" si="94"/>
        <v>0</v>
      </c>
      <c r="U24" s="116">
        <f t="shared" ref="U24:V24" si="95">U23/U7</f>
        <v>0.5769771598808342</v>
      </c>
      <c r="V24" s="116">
        <f t="shared" si="95"/>
        <v>0.49166204818012721</v>
      </c>
      <c r="W24" s="116">
        <f t="shared" ref="W24:X24" si="96">W23/W7</f>
        <v>0</v>
      </c>
      <c r="X24" s="116">
        <f t="shared" si="96"/>
        <v>0.56484519738853101</v>
      </c>
      <c r="Y24" s="116">
        <f t="shared" ref="Y24:Z24" si="97">Y23/Y7</f>
        <v>0.53689923000218087</v>
      </c>
      <c r="Z24" s="116">
        <f t="shared" si="97"/>
        <v>0.56264728539806474</v>
      </c>
      <c r="AA24" s="116">
        <f t="shared" ref="AA24:AB24" si="98">AA23/AA7</f>
        <v>0.63769008850422959</v>
      </c>
      <c r="AB24" s="116">
        <f t="shared" si="98"/>
        <v>0.62650116624065766</v>
      </c>
      <c r="AC24" s="116">
        <f t="shared" ref="AC24:AL24" si="99">AC23/AC7</f>
        <v>0.61828655471631266</v>
      </c>
      <c r="AD24" s="116">
        <f t="shared" si="99"/>
        <v>0.60470797995373937</v>
      </c>
      <c r="AE24" s="116">
        <f t="shared" si="99"/>
        <v>0.61165190532086888</v>
      </c>
      <c r="AF24" s="116">
        <f t="shared" si="99"/>
        <v>0.61990413821949142</v>
      </c>
      <c r="AG24" s="116">
        <f t="shared" si="99"/>
        <v>0.61619078469800825</v>
      </c>
      <c r="AH24" s="116">
        <f t="shared" si="99"/>
        <v>0.58664784014205651</v>
      </c>
      <c r="AI24" s="116">
        <f t="shared" si="99"/>
        <v>0.61596971229082487</v>
      </c>
      <c r="AJ24" s="116">
        <f t="shared" si="99"/>
        <v>0.60911593506006156</v>
      </c>
      <c r="AK24" s="116">
        <f t="shared" si="99"/>
        <v>0</v>
      </c>
      <c r="AL24" s="116">
        <f t="shared" si="99"/>
        <v>0</v>
      </c>
      <c r="AM24" s="116">
        <f t="shared" ref="AM24:BB24" si="100">AM23/AM7</f>
        <v>0</v>
      </c>
      <c r="AN24" s="116">
        <f t="shared" si="100"/>
        <v>0</v>
      </c>
      <c r="AO24" s="116">
        <f t="shared" si="100"/>
        <v>0</v>
      </c>
      <c r="AP24" s="116">
        <f t="shared" si="100"/>
        <v>0</v>
      </c>
      <c r="AQ24" s="116">
        <f t="shared" si="100"/>
        <v>0</v>
      </c>
      <c r="AR24" s="116">
        <f t="shared" si="100"/>
        <v>0</v>
      </c>
      <c r="AS24" s="116" t="e">
        <f t="shared" si="100"/>
        <v>#DIV/0!</v>
      </c>
      <c r="AT24" s="116" t="e">
        <f t="shared" si="100"/>
        <v>#DIV/0!</v>
      </c>
      <c r="AU24" s="116" t="e">
        <f t="shared" si="100"/>
        <v>#DIV/0!</v>
      </c>
      <c r="AV24" s="116" t="e">
        <f t="shared" si="100"/>
        <v>#DIV/0!</v>
      </c>
      <c r="AW24" s="116" t="e">
        <f t="shared" si="100"/>
        <v>#DIV/0!</v>
      </c>
      <c r="AX24" s="116" t="e">
        <f t="shared" si="100"/>
        <v>#DIV/0!</v>
      </c>
      <c r="AY24" s="116" t="e">
        <f t="shared" si="100"/>
        <v>#DIV/0!</v>
      </c>
      <c r="AZ24" s="116" t="e">
        <f t="shared" si="100"/>
        <v>#DIV/0!</v>
      </c>
      <c r="BA24" s="116" t="e">
        <f t="shared" si="100"/>
        <v>#DIV/0!</v>
      </c>
      <c r="BB24" s="116" t="e">
        <f t="shared" si="100"/>
        <v>#DIV/0!</v>
      </c>
    </row>
    <row r="25" spans="2:54">
      <c r="B25" s="42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row>
    <row r="26" spans="2:54">
      <c r="B26" s="112" t="s">
        <v>240</v>
      </c>
      <c r="C26" s="116">
        <f>C19/C7</f>
        <v>0</v>
      </c>
      <c r="D26" s="116">
        <f t="shared" ref="D26:K26" si="101">D19/D7</f>
        <v>0</v>
      </c>
      <c r="E26" s="116">
        <f t="shared" si="101"/>
        <v>0</v>
      </c>
      <c r="F26" s="116">
        <f t="shared" si="101"/>
        <v>0</v>
      </c>
      <c r="G26" s="116">
        <f t="shared" si="101"/>
        <v>0</v>
      </c>
      <c r="H26" s="116">
        <f t="shared" si="101"/>
        <v>0</v>
      </c>
      <c r="I26" s="116">
        <f t="shared" si="101"/>
        <v>0</v>
      </c>
      <c r="J26" s="116">
        <f t="shared" si="101"/>
        <v>0</v>
      </c>
      <c r="K26" s="116">
        <f t="shared" si="101"/>
        <v>0</v>
      </c>
      <c r="L26" s="116">
        <f t="shared" ref="L26" si="102">L19/L7</f>
        <v>0</v>
      </c>
      <c r="M26" s="116">
        <f t="shared" ref="M26" si="103">M19/M7</f>
        <v>0</v>
      </c>
      <c r="N26" s="116">
        <f t="shared" ref="N26:O26" si="104">N19/N7</f>
        <v>0</v>
      </c>
      <c r="O26" s="116">
        <f t="shared" si="104"/>
        <v>0</v>
      </c>
      <c r="P26" s="116">
        <f t="shared" ref="P26:Q26" si="105">P19/P7</f>
        <v>0</v>
      </c>
      <c r="Q26" s="116">
        <f t="shared" si="105"/>
        <v>0</v>
      </c>
      <c r="R26" s="116">
        <f t="shared" ref="R26" si="106">R19/R7</f>
        <v>0</v>
      </c>
      <c r="S26" s="116">
        <f t="shared" ref="S26:T26" si="107">S19/S7</f>
        <v>0</v>
      </c>
      <c r="T26" s="116">
        <f t="shared" si="107"/>
        <v>0</v>
      </c>
      <c r="U26" s="116">
        <f t="shared" ref="U26:V26" si="108">U19/U7</f>
        <v>0</v>
      </c>
      <c r="V26" s="116">
        <f t="shared" si="108"/>
        <v>0</v>
      </c>
      <c r="W26" s="116">
        <f t="shared" ref="W26:X26" si="109">W19/W7</f>
        <v>0</v>
      </c>
      <c r="X26" s="116">
        <f t="shared" si="109"/>
        <v>0</v>
      </c>
      <c r="Y26" s="116">
        <f t="shared" ref="Y26:Z26" si="110">Y19/Y7</f>
        <v>0</v>
      </c>
      <c r="Z26" s="116">
        <f t="shared" si="110"/>
        <v>0</v>
      </c>
      <c r="AA26" s="116">
        <f t="shared" ref="AA26:AB26" si="111">AA19/AA7</f>
        <v>0</v>
      </c>
      <c r="AB26" s="116">
        <f t="shared" si="111"/>
        <v>0</v>
      </c>
      <c r="AC26" s="116">
        <f t="shared" ref="AC26:AL26" si="112">AC19/AC7</f>
        <v>0</v>
      </c>
      <c r="AD26" s="116">
        <f t="shared" si="112"/>
        <v>0</v>
      </c>
      <c r="AE26" s="116">
        <f t="shared" si="112"/>
        <v>0</v>
      </c>
      <c r="AF26" s="116">
        <f t="shared" si="112"/>
        <v>0</v>
      </c>
      <c r="AG26" s="116">
        <f t="shared" si="112"/>
        <v>0</v>
      </c>
      <c r="AH26" s="116">
        <f t="shared" si="112"/>
        <v>0</v>
      </c>
      <c r="AI26" s="116">
        <f t="shared" si="112"/>
        <v>0</v>
      </c>
      <c r="AJ26" s="116">
        <f t="shared" si="112"/>
        <v>0</v>
      </c>
      <c r="AK26" s="116">
        <f t="shared" si="112"/>
        <v>0</v>
      </c>
      <c r="AL26" s="116">
        <f t="shared" si="112"/>
        <v>0</v>
      </c>
      <c r="AM26" s="116">
        <f t="shared" ref="AM26:BB26" si="113">AM19/AM7</f>
        <v>0</v>
      </c>
      <c r="AN26" s="116">
        <f t="shared" si="113"/>
        <v>0</v>
      </c>
      <c r="AO26" s="116">
        <f t="shared" si="113"/>
        <v>0</v>
      </c>
      <c r="AP26" s="116">
        <f t="shared" si="113"/>
        <v>0</v>
      </c>
      <c r="AQ26" s="116">
        <f t="shared" si="113"/>
        <v>0</v>
      </c>
      <c r="AR26" s="116">
        <f t="shared" si="113"/>
        <v>0</v>
      </c>
      <c r="AS26" s="116" t="e">
        <f t="shared" si="113"/>
        <v>#DIV/0!</v>
      </c>
      <c r="AT26" s="116" t="e">
        <f t="shared" si="113"/>
        <v>#DIV/0!</v>
      </c>
      <c r="AU26" s="116" t="e">
        <f t="shared" si="113"/>
        <v>#DIV/0!</v>
      </c>
      <c r="AV26" s="116" t="e">
        <f t="shared" si="113"/>
        <v>#DIV/0!</v>
      </c>
      <c r="AW26" s="116" t="e">
        <f t="shared" si="113"/>
        <v>#DIV/0!</v>
      </c>
      <c r="AX26" s="116" t="e">
        <f t="shared" si="113"/>
        <v>#DIV/0!</v>
      </c>
      <c r="AY26" s="116" t="e">
        <f t="shared" si="113"/>
        <v>#DIV/0!</v>
      </c>
      <c r="AZ26" s="116" t="e">
        <f t="shared" si="113"/>
        <v>#DIV/0!</v>
      </c>
      <c r="BA26" s="116" t="e">
        <f t="shared" si="113"/>
        <v>#DIV/0!</v>
      </c>
      <c r="BB26" s="116" t="e">
        <f t="shared" si="113"/>
        <v>#DIV/0!</v>
      </c>
    </row>
    <row r="27" spans="2:54">
      <c r="B27" s="112" t="s">
        <v>241</v>
      </c>
      <c r="C27" s="116">
        <f>C20/C7</f>
        <v>0</v>
      </c>
      <c r="D27" s="116">
        <f t="shared" ref="D27:K27" si="114">D20/D7</f>
        <v>0</v>
      </c>
      <c r="E27" s="116">
        <f t="shared" si="114"/>
        <v>0</v>
      </c>
      <c r="F27" s="116">
        <f t="shared" si="114"/>
        <v>0</v>
      </c>
      <c r="G27" s="116">
        <f t="shared" si="114"/>
        <v>0</v>
      </c>
      <c r="H27" s="116">
        <f t="shared" si="114"/>
        <v>0</v>
      </c>
      <c r="I27" s="116">
        <f t="shared" si="114"/>
        <v>0</v>
      </c>
      <c r="J27" s="116">
        <f t="shared" si="114"/>
        <v>0</v>
      </c>
      <c r="K27" s="116">
        <f t="shared" si="114"/>
        <v>0</v>
      </c>
      <c r="L27" s="116">
        <f t="shared" ref="L27" si="115">L20/L7</f>
        <v>0</v>
      </c>
      <c r="M27" s="116">
        <f t="shared" ref="M27" si="116">M20/M7</f>
        <v>0</v>
      </c>
      <c r="N27" s="116">
        <f t="shared" ref="N27:O27" si="117">N20/N7</f>
        <v>0</v>
      </c>
      <c r="O27" s="116">
        <f t="shared" si="117"/>
        <v>0</v>
      </c>
      <c r="P27" s="116">
        <f t="shared" ref="P27:Q27" si="118">P20/P7</f>
        <v>0</v>
      </c>
      <c r="Q27" s="116">
        <f t="shared" si="118"/>
        <v>0</v>
      </c>
      <c r="R27" s="116">
        <f t="shared" ref="R27" si="119">R20/R7</f>
        <v>0</v>
      </c>
      <c r="S27" s="116">
        <f t="shared" ref="S27:T27" si="120">S20/S7</f>
        <v>0</v>
      </c>
      <c r="T27" s="116">
        <f t="shared" si="120"/>
        <v>0</v>
      </c>
      <c r="U27" s="116">
        <f t="shared" ref="U27:V27" si="121">U20/U7</f>
        <v>0</v>
      </c>
      <c r="V27" s="116">
        <f t="shared" si="121"/>
        <v>0</v>
      </c>
      <c r="W27" s="116">
        <f t="shared" ref="W27:X27" si="122">W20/W7</f>
        <v>0</v>
      </c>
      <c r="X27" s="116">
        <f t="shared" si="122"/>
        <v>0</v>
      </c>
      <c r="Y27" s="116">
        <f t="shared" ref="Y27:Z27" si="123">Y20/Y7</f>
        <v>0</v>
      </c>
      <c r="Z27" s="116">
        <f t="shared" si="123"/>
        <v>0</v>
      </c>
      <c r="AA27" s="116">
        <f t="shared" ref="AA27:AB27" si="124">AA20/AA7</f>
        <v>0</v>
      </c>
      <c r="AB27" s="116">
        <f t="shared" si="124"/>
        <v>0</v>
      </c>
      <c r="AC27" s="116">
        <f t="shared" ref="AC27:AL27" si="125">AC20/AC7</f>
        <v>0</v>
      </c>
      <c r="AD27" s="116">
        <f t="shared" si="125"/>
        <v>0</v>
      </c>
      <c r="AE27" s="116">
        <f t="shared" si="125"/>
        <v>0</v>
      </c>
      <c r="AF27" s="116">
        <f t="shared" si="125"/>
        <v>0</v>
      </c>
      <c r="AG27" s="116">
        <f t="shared" si="125"/>
        <v>0</v>
      </c>
      <c r="AH27" s="116">
        <f t="shared" si="125"/>
        <v>0</v>
      </c>
      <c r="AI27" s="116">
        <f t="shared" si="125"/>
        <v>0</v>
      </c>
      <c r="AJ27" s="116">
        <f t="shared" si="125"/>
        <v>0</v>
      </c>
      <c r="AK27" s="116">
        <f t="shared" si="125"/>
        <v>0</v>
      </c>
      <c r="AL27" s="116">
        <f t="shared" si="125"/>
        <v>0</v>
      </c>
      <c r="AM27" s="116">
        <f t="shared" ref="AM27:BB27" si="126">AM20/AM7</f>
        <v>0</v>
      </c>
      <c r="AN27" s="116">
        <f t="shared" si="126"/>
        <v>0</v>
      </c>
      <c r="AO27" s="116">
        <f t="shared" si="126"/>
        <v>0</v>
      </c>
      <c r="AP27" s="116">
        <f t="shared" si="126"/>
        <v>0</v>
      </c>
      <c r="AQ27" s="116">
        <f t="shared" si="126"/>
        <v>0</v>
      </c>
      <c r="AR27" s="116">
        <f t="shared" si="126"/>
        <v>0</v>
      </c>
      <c r="AS27" s="116" t="e">
        <f t="shared" si="126"/>
        <v>#DIV/0!</v>
      </c>
      <c r="AT27" s="116" t="e">
        <f t="shared" si="126"/>
        <v>#DIV/0!</v>
      </c>
      <c r="AU27" s="116" t="e">
        <f t="shared" si="126"/>
        <v>#DIV/0!</v>
      </c>
      <c r="AV27" s="116" t="e">
        <f t="shared" si="126"/>
        <v>#DIV/0!</v>
      </c>
      <c r="AW27" s="116" t="e">
        <f t="shared" si="126"/>
        <v>#DIV/0!</v>
      </c>
      <c r="AX27" s="116" t="e">
        <f t="shared" si="126"/>
        <v>#DIV/0!</v>
      </c>
      <c r="AY27" s="116" t="e">
        <f t="shared" si="126"/>
        <v>#DIV/0!</v>
      </c>
      <c r="AZ27" s="116" t="e">
        <f t="shared" si="126"/>
        <v>#DIV/0!</v>
      </c>
      <c r="BA27" s="116" t="e">
        <f t="shared" si="126"/>
        <v>#DIV/0!</v>
      </c>
      <c r="BB27" s="116" t="e">
        <f t="shared" si="126"/>
        <v>#DIV/0!</v>
      </c>
    </row>
    <row r="28" spans="2:54">
      <c r="B28" s="112" t="s">
        <v>242</v>
      </c>
      <c r="C28" s="116">
        <f>C21/C7</f>
        <v>0</v>
      </c>
      <c r="D28" s="116">
        <f t="shared" ref="D28:K28" si="127">D21/D7</f>
        <v>0</v>
      </c>
      <c r="E28" s="116">
        <f t="shared" si="127"/>
        <v>0</v>
      </c>
      <c r="F28" s="116">
        <f t="shared" si="127"/>
        <v>0</v>
      </c>
      <c r="G28" s="116">
        <f t="shared" si="127"/>
        <v>0</v>
      </c>
      <c r="H28" s="116">
        <f t="shared" si="127"/>
        <v>0</v>
      </c>
      <c r="I28" s="116">
        <f t="shared" si="127"/>
        <v>0</v>
      </c>
      <c r="J28" s="116">
        <f t="shared" si="127"/>
        <v>0</v>
      </c>
      <c r="K28" s="116">
        <f t="shared" si="127"/>
        <v>0</v>
      </c>
      <c r="L28" s="116">
        <f t="shared" ref="L28" si="128">L21/L7</f>
        <v>0</v>
      </c>
      <c r="M28" s="116">
        <f t="shared" ref="M28" si="129">M21/M7</f>
        <v>0</v>
      </c>
      <c r="N28" s="116">
        <f t="shared" ref="N28:O28" si="130">N21/N7</f>
        <v>0</v>
      </c>
      <c r="O28" s="116">
        <f t="shared" si="130"/>
        <v>0</v>
      </c>
      <c r="P28" s="116">
        <f t="shared" ref="P28:Q28" si="131">P21/P7</f>
        <v>0</v>
      </c>
      <c r="Q28" s="116">
        <f t="shared" si="131"/>
        <v>0</v>
      </c>
      <c r="R28" s="116">
        <f t="shared" ref="R28" si="132">R21/R7</f>
        <v>0</v>
      </c>
      <c r="S28" s="116">
        <f t="shared" ref="S28:T28" si="133">S21/S7</f>
        <v>0</v>
      </c>
      <c r="T28" s="116">
        <f t="shared" si="133"/>
        <v>0</v>
      </c>
      <c r="U28" s="116">
        <f t="shared" ref="U28:V28" si="134">U21/U7</f>
        <v>0</v>
      </c>
      <c r="V28" s="116">
        <f t="shared" si="134"/>
        <v>0</v>
      </c>
      <c r="W28" s="116">
        <f t="shared" ref="W28:X28" si="135">W21/W7</f>
        <v>0</v>
      </c>
      <c r="X28" s="116">
        <f t="shared" si="135"/>
        <v>0</v>
      </c>
      <c r="Y28" s="116">
        <f t="shared" ref="Y28:Z28" si="136">Y21/Y7</f>
        <v>0</v>
      </c>
      <c r="Z28" s="116">
        <f t="shared" si="136"/>
        <v>0</v>
      </c>
      <c r="AA28" s="116">
        <f t="shared" ref="AA28:AB28" si="137">AA21/AA7</f>
        <v>0</v>
      </c>
      <c r="AB28" s="116">
        <f t="shared" si="137"/>
        <v>0</v>
      </c>
      <c r="AC28" s="116">
        <f t="shared" ref="AC28:AL28" si="138">AC21/AC7</f>
        <v>0</v>
      </c>
      <c r="AD28" s="116">
        <f t="shared" si="138"/>
        <v>0</v>
      </c>
      <c r="AE28" s="116">
        <f t="shared" si="138"/>
        <v>0</v>
      </c>
      <c r="AF28" s="116">
        <f t="shared" si="138"/>
        <v>0</v>
      </c>
      <c r="AG28" s="116">
        <f t="shared" si="138"/>
        <v>0</v>
      </c>
      <c r="AH28" s="116">
        <f t="shared" si="138"/>
        <v>0</v>
      </c>
      <c r="AI28" s="116">
        <f t="shared" si="138"/>
        <v>0</v>
      </c>
      <c r="AJ28" s="116">
        <f t="shared" si="138"/>
        <v>0</v>
      </c>
      <c r="AK28" s="116">
        <f t="shared" si="138"/>
        <v>0</v>
      </c>
      <c r="AL28" s="116">
        <f t="shared" si="138"/>
        <v>0</v>
      </c>
      <c r="AM28" s="116">
        <f t="shared" ref="AM28:BB28" si="139">AM21/AM7</f>
        <v>0</v>
      </c>
      <c r="AN28" s="116">
        <f t="shared" si="139"/>
        <v>0</v>
      </c>
      <c r="AO28" s="116">
        <f t="shared" si="139"/>
        <v>0</v>
      </c>
      <c r="AP28" s="116">
        <f t="shared" si="139"/>
        <v>0</v>
      </c>
      <c r="AQ28" s="116">
        <f t="shared" si="139"/>
        <v>0</v>
      </c>
      <c r="AR28" s="116">
        <f t="shared" si="139"/>
        <v>0</v>
      </c>
      <c r="AS28" s="116" t="e">
        <f t="shared" si="139"/>
        <v>#DIV/0!</v>
      </c>
      <c r="AT28" s="116" t="e">
        <f t="shared" si="139"/>
        <v>#DIV/0!</v>
      </c>
      <c r="AU28" s="116" t="e">
        <f t="shared" si="139"/>
        <v>#DIV/0!</v>
      </c>
      <c r="AV28" s="116" t="e">
        <f t="shared" si="139"/>
        <v>#DIV/0!</v>
      </c>
      <c r="AW28" s="116" t="e">
        <f t="shared" si="139"/>
        <v>#DIV/0!</v>
      </c>
      <c r="AX28" s="116" t="e">
        <f t="shared" si="139"/>
        <v>#DIV/0!</v>
      </c>
      <c r="AY28" s="116" t="e">
        <f t="shared" si="139"/>
        <v>#DIV/0!</v>
      </c>
      <c r="AZ28" s="116" t="e">
        <f t="shared" si="139"/>
        <v>#DIV/0!</v>
      </c>
      <c r="BA28" s="116" t="e">
        <f t="shared" si="139"/>
        <v>#DIV/0!</v>
      </c>
      <c r="BB28" s="116" t="e">
        <f t="shared" si="139"/>
        <v>#DIV/0!</v>
      </c>
    </row>
    <row r="30" spans="2:54">
      <c r="B30" s="112" t="s">
        <v>243</v>
      </c>
      <c r="C30" s="116">
        <f t="shared" ref="C30:K30" si="140">C19/C23</f>
        <v>0</v>
      </c>
      <c r="D30" s="116">
        <f t="shared" si="140"/>
        <v>0</v>
      </c>
      <c r="E30" s="116">
        <f t="shared" si="140"/>
        <v>0</v>
      </c>
      <c r="F30" s="116">
        <f t="shared" si="140"/>
        <v>0</v>
      </c>
      <c r="G30" s="116">
        <f t="shared" si="140"/>
        <v>0</v>
      </c>
      <c r="H30" s="116">
        <f t="shared" si="140"/>
        <v>0</v>
      </c>
      <c r="I30" s="116">
        <f t="shared" si="140"/>
        <v>0</v>
      </c>
      <c r="J30" s="116">
        <f t="shared" si="140"/>
        <v>0</v>
      </c>
      <c r="K30" s="116">
        <f t="shared" si="140"/>
        <v>0</v>
      </c>
      <c r="L30" s="116">
        <f t="shared" ref="L30" si="141">L19/L23</f>
        <v>0</v>
      </c>
      <c r="M30" s="116">
        <f t="shared" ref="M30" si="142">M19/M23</f>
        <v>0</v>
      </c>
      <c r="N30" s="116">
        <f t="shared" ref="N30:O30" si="143">N19/N23</f>
        <v>0</v>
      </c>
      <c r="O30" s="116">
        <f t="shared" si="143"/>
        <v>0</v>
      </c>
      <c r="P30" s="116">
        <f t="shared" ref="P30:Q30" si="144">P19/P23</f>
        <v>0</v>
      </c>
      <c r="Q30" s="116" t="e">
        <f t="shared" si="144"/>
        <v>#DIV/0!</v>
      </c>
      <c r="R30" s="116">
        <f t="shared" ref="R30" si="145">R19/R23</f>
        <v>0</v>
      </c>
      <c r="S30" s="116" t="e">
        <f t="shared" ref="S30:T30" si="146">S19/S23</f>
        <v>#DIV/0!</v>
      </c>
      <c r="T30" s="116" t="e">
        <f t="shared" si="146"/>
        <v>#DIV/0!</v>
      </c>
      <c r="U30" s="116">
        <f t="shared" ref="U30:V30" si="147">U19/U23</f>
        <v>0</v>
      </c>
      <c r="V30" s="116">
        <f t="shared" si="147"/>
        <v>0</v>
      </c>
      <c r="W30" s="116" t="e">
        <f t="shared" ref="W30:X30" si="148">W19/W23</f>
        <v>#DIV/0!</v>
      </c>
      <c r="X30" s="116">
        <f t="shared" si="148"/>
        <v>0</v>
      </c>
      <c r="Y30" s="116">
        <f t="shared" ref="Y30:Z30" si="149">Y19/Y23</f>
        <v>0</v>
      </c>
      <c r="Z30" s="116">
        <f t="shared" si="149"/>
        <v>0</v>
      </c>
      <c r="AA30" s="116">
        <f t="shared" ref="AA30:AB30" si="150">AA19/AA23</f>
        <v>0</v>
      </c>
      <c r="AB30" s="116">
        <f t="shared" si="150"/>
        <v>0</v>
      </c>
      <c r="AC30" s="116">
        <f t="shared" ref="AC30:AL30" si="151">AC19/AC23</f>
        <v>0</v>
      </c>
      <c r="AD30" s="116">
        <f t="shared" si="151"/>
        <v>0</v>
      </c>
      <c r="AE30" s="116">
        <f t="shared" si="151"/>
        <v>0</v>
      </c>
      <c r="AF30" s="116">
        <f t="shared" si="151"/>
        <v>0</v>
      </c>
      <c r="AG30" s="116">
        <f t="shared" si="151"/>
        <v>0</v>
      </c>
      <c r="AH30" s="116">
        <f t="shared" si="151"/>
        <v>0</v>
      </c>
      <c r="AI30" s="116">
        <f t="shared" si="151"/>
        <v>0</v>
      </c>
      <c r="AJ30" s="116">
        <f t="shared" si="151"/>
        <v>0</v>
      </c>
      <c r="AK30" s="116" t="e">
        <f t="shared" si="151"/>
        <v>#DIV/0!</v>
      </c>
      <c r="AL30" s="116" t="e">
        <f t="shared" si="151"/>
        <v>#DIV/0!</v>
      </c>
      <c r="AM30" s="116" t="e">
        <f t="shared" ref="AM30:BB30" si="152">AM19/AM23</f>
        <v>#DIV/0!</v>
      </c>
      <c r="AN30" s="116" t="e">
        <f t="shared" si="152"/>
        <v>#DIV/0!</v>
      </c>
      <c r="AO30" s="116" t="e">
        <f t="shared" si="152"/>
        <v>#DIV/0!</v>
      </c>
      <c r="AP30" s="116" t="e">
        <f t="shared" si="152"/>
        <v>#DIV/0!</v>
      </c>
      <c r="AQ30" s="116" t="e">
        <f t="shared" si="152"/>
        <v>#DIV/0!</v>
      </c>
      <c r="AR30" s="116" t="e">
        <f t="shared" si="152"/>
        <v>#DIV/0!</v>
      </c>
      <c r="AS30" s="116" t="e">
        <f t="shared" si="152"/>
        <v>#DIV/0!</v>
      </c>
      <c r="AT30" s="116" t="e">
        <f t="shared" si="152"/>
        <v>#DIV/0!</v>
      </c>
      <c r="AU30" s="116" t="e">
        <f t="shared" si="152"/>
        <v>#DIV/0!</v>
      </c>
      <c r="AV30" s="116" t="e">
        <f t="shared" si="152"/>
        <v>#DIV/0!</v>
      </c>
      <c r="AW30" s="116" t="e">
        <f t="shared" si="152"/>
        <v>#DIV/0!</v>
      </c>
      <c r="AX30" s="116" t="e">
        <f t="shared" si="152"/>
        <v>#DIV/0!</v>
      </c>
      <c r="AY30" s="116" t="e">
        <f t="shared" si="152"/>
        <v>#DIV/0!</v>
      </c>
      <c r="AZ30" s="116" t="e">
        <f t="shared" si="152"/>
        <v>#DIV/0!</v>
      </c>
      <c r="BA30" s="116" t="e">
        <f t="shared" si="152"/>
        <v>#DIV/0!</v>
      </c>
      <c r="BB30" s="116" t="e">
        <f t="shared" si="152"/>
        <v>#DIV/0!</v>
      </c>
    </row>
    <row r="31" spans="2:54">
      <c r="B31" s="112" t="s">
        <v>244</v>
      </c>
      <c r="C31" s="116">
        <f t="shared" ref="C31:K31" si="153">C20/C23</f>
        <v>0</v>
      </c>
      <c r="D31" s="116">
        <f t="shared" si="153"/>
        <v>0</v>
      </c>
      <c r="E31" s="116">
        <f t="shared" si="153"/>
        <v>0</v>
      </c>
      <c r="F31" s="116">
        <f t="shared" si="153"/>
        <v>0</v>
      </c>
      <c r="G31" s="116">
        <f t="shared" si="153"/>
        <v>0</v>
      </c>
      <c r="H31" s="116">
        <f t="shared" si="153"/>
        <v>0</v>
      </c>
      <c r="I31" s="116">
        <f t="shared" si="153"/>
        <v>0</v>
      </c>
      <c r="J31" s="116">
        <f t="shared" si="153"/>
        <v>0</v>
      </c>
      <c r="K31" s="116">
        <f t="shared" si="153"/>
        <v>0</v>
      </c>
      <c r="L31" s="116">
        <f t="shared" ref="L31" si="154">L20/L23</f>
        <v>0</v>
      </c>
      <c r="M31" s="116">
        <f t="shared" ref="M31" si="155">M20/M23</f>
        <v>0</v>
      </c>
      <c r="N31" s="116">
        <f t="shared" ref="N31:O31" si="156">N20/N23</f>
        <v>0</v>
      </c>
      <c r="O31" s="116">
        <f t="shared" si="156"/>
        <v>0</v>
      </c>
      <c r="P31" s="116">
        <f t="shared" ref="P31:Q31" si="157">P20/P23</f>
        <v>0</v>
      </c>
      <c r="Q31" s="116" t="e">
        <f t="shared" si="157"/>
        <v>#DIV/0!</v>
      </c>
      <c r="R31" s="116">
        <f t="shared" ref="R31" si="158">R20/R23</f>
        <v>0</v>
      </c>
      <c r="S31" s="116" t="e">
        <f t="shared" ref="S31:T31" si="159">S20/S23</f>
        <v>#DIV/0!</v>
      </c>
      <c r="T31" s="116" t="e">
        <f t="shared" si="159"/>
        <v>#DIV/0!</v>
      </c>
      <c r="U31" s="116">
        <f t="shared" ref="U31:V31" si="160">U20/U23</f>
        <v>0</v>
      </c>
      <c r="V31" s="116">
        <f t="shared" si="160"/>
        <v>0</v>
      </c>
      <c r="W31" s="116" t="e">
        <f t="shared" ref="W31:X31" si="161">W20/W23</f>
        <v>#DIV/0!</v>
      </c>
      <c r="X31" s="116">
        <f t="shared" si="161"/>
        <v>0</v>
      </c>
      <c r="Y31" s="116">
        <f t="shared" ref="Y31:Z31" si="162">Y20/Y23</f>
        <v>0</v>
      </c>
      <c r="Z31" s="116">
        <f t="shared" si="162"/>
        <v>0</v>
      </c>
      <c r="AA31" s="116">
        <f t="shared" ref="AA31:AB31" si="163">AA20/AA23</f>
        <v>0</v>
      </c>
      <c r="AB31" s="116">
        <f t="shared" si="163"/>
        <v>0</v>
      </c>
      <c r="AC31" s="116">
        <f t="shared" ref="AC31:AL31" si="164">AC20/AC23</f>
        <v>0</v>
      </c>
      <c r="AD31" s="116">
        <f t="shared" si="164"/>
        <v>0</v>
      </c>
      <c r="AE31" s="116">
        <f t="shared" si="164"/>
        <v>0</v>
      </c>
      <c r="AF31" s="116">
        <f t="shared" si="164"/>
        <v>0</v>
      </c>
      <c r="AG31" s="116">
        <f t="shared" si="164"/>
        <v>0</v>
      </c>
      <c r="AH31" s="116">
        <f t="shared" si="164"/>
        <v>0</v>
      </c>
      <c r="AI31" s="116">
        <f t="shared" si="164"/>
        <v>0</v>
      </c>
      <c r="AJ31" s="116">
        <f t="shared" si="164"/>
        <v>0</v>
      </c>
      <c r="AK31" s="116" t="e">
        <f t="shared" si="164"/>
        <v>#DIV/0!</v>
      </c>
      <c r="AL31" s="116" t="e">
        <f t="shared" si="164"/>
        <v>#DIV/0!</v>
      </c>
      <c r="AM31" s="116" t="e">
        <f t="shared" ref="AM31:BB31" si="165">AM20/AM23</f>
        <v>#DIV/0!</v>
      </c>
      <c r="AN31" s="116" t="e">
        <f t="shared" si="165"/>
        <v>#DIV/0!</v>
      </c>
      <c r="AO31" s="116" t="e">
        <f t="shared" si="165"/>
        <v>#DIV/0!</v>
      </c>
      <c r="AP31" s="116" t="e">
        <f t="shared" si="165"/>
        <v>#DIV/0!</v>
      </c>
      <c r="AQ31" s="116" t="e">
        <f t="shared" si="165"/>
        <v>#DIV/0!</v>
      </c>
      <c r="AR31" s="116" t="e">
        <f t="shared" si="165"/>
        <v>#DIV/0!</v>
      </c>
      <c r="AS31" s="116" t="e">
        <f t="shared" si="165"/>
        <v>#DIV/0!</v>
      </c>
      <c r="AT31" s="116" t="e">
        <f t="shared" si="165"/>
        <v>#DIV/0!</v>
      </c>
      <c r="AU31" s="116" t="e">
        <f t="shared" si="165"/>
        <v>#DIV/0!</v>
      </c>
      <c r="AV31" s="116" t="e">
        <f t="shared" si="165"/>
        <v>#DIV/0!</v>
      </c>
      <c r="AW31" s="116" t="e">
        <f t="shared" si="165"/>
        <v>#DIV/0!</v>
      </c>
      <c r="AX31" s="116" t="e">
        <f t="shared" si="165"/>
        <v>#DIV/0!</v>
      </c>
      <c r="AY31" s="116" t="e">
        <f t="shared" si="165"/>
        <v>#DIV/0!</v>
      </c>
      <c r="AZ31" s="116" t="e">
        <f t="shared" si="165"/>
        <v>#DIV/0!</v>
      </c>
      <c r="BA31" s="116" t="e">
        <f t="shared" si="165"/>
        <v>#DIV/0!</v>
      </c>
      <c r="BB31" s="116" t="e">
        <f t="shared" si="165"/>
        <v>#DIV/0!</v>
      </c>
    </row>
    <row r="32" spans="2:54">
      <c r="B32" s="112" t="s">
        <v>245</v>
      </c>
      <c r="C32" s="116">
        <f t="shared" ref="C32:K32" si="166">C21/C23</f>
        <v>0</v>
      </c>
      <c r="D32" s="116">
        <f t="shared" si="166"/>
        <v>0</v>
      </c>
      <c r="E32" s="116">
        <f t="shared" si="166"/>
        <v>0</v>
      </c>
      <c r="F32" s="116">
        <f t="shared" si="166"/>
        <v>0</v>
      </c>
      <c r="G32" s="116">
        <f t="shared" si="166"/>
        <v>0</v>
      </c>
      <c r="H32" s="116">
        <f t="shared" si="166"/>
        <v>0</v>
      </c>
      <c r="I32" s="116">
        <f t="shared" si="166"/>
        <v>0</v>
      </c>
      <c r="J32" s="116">
        <f t="shared" si="166"/>
        <v>0</v>
      </c>
      <c r="K32" s="116">
        <f t="shared" si="166"/>
        <v>0</v>
      </c>
      <c r="L32" s="116">
        <f t="shared" ref="L32" si="167">L21/L23</f>
        <v>0</v>
      </c>
      <c r="M32" s="116">
        <f t="shared" ref="M32" si="168">M21/M23</f>
        <v>0</v>
      </c>
      <c r="N32" s="116">
        <f t="shared" ref="N32:O32" si="169">N21/N23</f>
        <v>0</v>
      </c>
      <c r="O32" s="116">
        <f t="shared" si="169"/>
        <v>0</v>
      </c>
      <c r="P32" s="116">
        <f t="shared" ref="P32:Q32" si="170">P21/P23</f>
        <v>0</v>
      </c>
      <c r="Q32" s="116" t="e">
        <f t="shared" si="170"/>
        <v>#DIV/0!</v>
      </c>
      <c r="R32" s="116">
        <f t="shared" ref="R32" si="171">R21/R23</f>
        <v>0</v>
      </c>
      <c r="S32" s="116" t="e">
        <f t="shared" ref="S32:T32" si="172">S21/S23</f>
        <v>#DIV/0!</v>
      </c>
      <c r="T32" s="116" t="e">
        <f t="shared" si="172"/>
        <v>#DIV/0!</v>
      </c>
      <c r="U32" s="116">
        <f t="shared" ref="U32:V32" si="173">U21/U23</f>
        <v>0</v>
      </c>
      <c r="V32" s="116">
        <f t="shared" si="173"/>
        <v>0</v>
      </c>
      <c r="W32" s="116" t="e">
        <f t="shared" ref="W32:X32" si="174">W21/W23</f>
        <v>#DIV/0!</v>
      </c>
      <c r="X32" s="116">
        <f t="shared" si="174"/>
        <v>0</v>
      </c>
      <c r="Y32" s="116">
        <f t="shared" ref="Y32:Z32" si="175">Y21/Y23</f>
        <v>0</v>
      </c>
      <c r="Z32" s="116">
        <f t="shared" si="175"/>
        <v>0</v>
      </c>
      <c r="AA32" s="116">
        <f t="shared" ref="AA32:AB32" si="176">AA21/AA23</f>
        <v>0</v>
      </c>
      <c r="AB32" s="116">
        <f t="shared" si="176"/>
        <v>0</v>
      </c>
      <c r="AC32" s="116">
        <f t="shared" ref="AC32:AL32" si="177">AC21/AC23</f>
        <v>0</v>
      </c>
      <c r="AD32" s="116">
        <f t="shared" si="177"/>
        <v>0</v>
      </c>
      <c r="AE32" s="116">
        <f t="shared" si="177"/>
        <v>0</v>
      </c>
      <c r="AF32" s="116">
        <f t="shared" si="177"/>
        <v>0</v>
      </c>
      <c r="AG32" s="116">
        <f t="shared" si="177"/>
        <v>0</v>
      </c>
      <c r="AH32" s="116">
        <f t="shared" si="177"/>
        <v>0</v>
      </c>
      <c r="AI32" s="116">
        <f t="shared" si="177"/>
        <v>0</v>
      </c>
      <c r="AJ32" s="116">
        <f t="shared" si="177"/>
        <v>0</v>
      </c>
      <c r="AK32" s="116" t="e">
        <f t="shared" si="177"/>
        <v>#DIV/0!</v>
      </c>
      <c r="AL32" s="116" t="e">
        <f t="shared" si="177"/>
        <v>#DIV/0!</v>
      </c>
      <c r="AM32" s="116" t="e">
        <f t="shared" ref="AM32:BB32" si="178">AM21/AM23</f>
        <v>#DIV/0!</v>
      </c>
      <c r="AN32" s="116" t="e">
        <f t="shared" si="178"/>
        <v>#DIV/0!</v>
      </c>
      <c r="AO32" s="116" t="e">
        <f t="shared" si="178"/>
        <v>#DIV/0!</v>
      </c>
      <c r="AP32" s="116" t="e">
        <f t="shared" si="178"/>
        <v>#DIV/0!</v>
      </c>
      <c r="AQ32" s="116" t="e">
        <f t="shared" si="178"/>
        <v>#DIV/0!</v>
      </c>
      <c r="AR32" s="116" t="e">
        <f t="shared" si="178"/>
        <v>#DIV/0!</v>
      </c>
      <c r="AS32" s="116" t="e">
        <f t="shared" si="178"/>
        <v>#DIV/0!</v>
      </c>
      <c r="AT32" s="116" t="e">
        <f t="shared" si="178"/>
        <v>#DIV/0!</v>
      </c>
      <c r="AU32" s="116" t="e">
        <f t="shared" si="178"/>
        <v>#DIV/0!</v>
      </c>
      <c r="AV32" s="116" t="e">
        <f t="shared" si="178"/>
        <v>#DIV/0!</v>
      </c>
      <c r="AW32" s="116" t="e">
        <f t="shared" si="178"/>
        <v>#DIV/0!</v>
      </c>
      <c r="AX32" s="116" t="e">
        <f t="shared" si="178"/>
        <v>#DIV/0!</v>
      </c>
      <c r="AY32" s="116" t="e">
        <f t="shared" si="178"/>
        <v>#DIV/0!</v>
      </c>
      <c r="AZ32" s="116" t="e">
        <f t="shared" si="178"/>
        <v>#DIV/0!</v>
      </c>
      <c r="BA32" s="116" t="e">
        <f t="shared" si="178"/>
        <v>#DIV/0!</v>
      </c>
      <c r="BB32" s="116" t="e">
        <f t="shared" si="178"/>
        <v>#DIV/0!</v>
      </c>
    </row>
    <row r="33" spans="2:29">
      <c r="AC33" s="413"/>
    </row>
    <row r="34" spans="2:29">
      <c r="AC34" s="413"/>
    </row>
    <row r="35" spans="2:29">
      <c r="AC35" s="413"/>
    </row>
    <row r="37" spans="2:29">
      <c r="AC37" s="413"/>
    </row>
    <row r="38" spans="2:29">
      <c r="AC38" s="413"/>
    </row>
    <row r="39" spans="2:29">
      <c r="AC39" s="414"/>
    </row>
    <row r="44" spans="2:29">
      <c r="B44" s="110"/>
      <c r="G44" s="116"/>
      <c r="H44" s="116"/>
      <c r="I44" s="116"/>
      <c r="J44" s="116"/>
      <c r="K44" s="116"/>
    </row>
  </sheetData>
  <pageMargins left="0.25" right="0.25" top="0.25" bottom="0.25" header="0.3" footer="0.3"/>
  <pageSetup scale="55"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2060"/>
    <pageSetUpPr fitToPage="1"/>
  </sheetPr>
  <dimension ref="A1:BT123"/>
  <sheetViews>
    <sheetView showGridLines="0" topLeftCell="B1" workbookViewId="0">
      <pane xSplit="1" topLeftCell="AL1" activePane="topRight" state="frozen"/>
      <selection activeCell="B1" sqref="B1"/>
      <selection pane="topRight" activeCell="AR60" sqref="AR60"/>
    </sheetView>
  </sheetViews>
  <sheetFormatPr defaultColWidth="9.1796875" defaultRowHeight="14"/>
  <cols>
    <col min="1" max="1" width="9.1796875" style="104" hidden="1" customWidth="1"/>
    <col min="2" max="2" width="37.26953125" style="104" bestFit="1" customWidth="1"/>
    <col min="3" max="3" width="13" style="104" customWidth="1"/>
    <col min="4" max="37" width="13.453125" style="104" customWidth="1"/>
    <col min="38" max="38" width="13.7265625" style="104" bestFit="1" customWidth="1"/>
    <col min="39" max="65" width="13.453125" style="104" customWidth="1"/>
    <col min="66" max="16384" width="9.1796875" style="104"/>
  </cols>
  <sheetData>
    <row r="1" spans="2:54">
      <c r="B1" s="567"/>
      <c r="C1" s="567"/>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row>
    <row r="2" spans="2:54">
      <c r="B2" s="163" t="s">
        <v>246</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row>
    <row r="3" spans="2:54">
      <c r="B3" s="359" t="s">
        <v>247</v>
      </c>
      <c r="C3" s="533">
        <v>42369</v>
      </c>
      <c r="D3" s="165">
        <f>EOMONTH(C3,3)</f>
        <v>42460</v>
      </c>
      <c r="E3" s="165">
        <f t="shared" ref="E3:S3" si="0">EOMONTH(D3,3)</f>
        <v>42551</v>
      </c>
      <c r="F3" s="165">
        <f t="shared" si="0"/>
        <v>42643</v>
      </c>
      <c r="G3" s="165">
        <f t="shared" si="0"/>
        <v>42735</v>
      </c>
      <c r="H3" s="165">
        <f t="shared" si="0"/>
        <v>42825</v>
      </c>
      <c r="I3" s="165">
        <f t="shared" si="0"/>
        <v>42916</v>
      </c>
      <c r="J3" s="165">
        <f t="shared" si="0"/>
        <v>43008</v>
      </c>
      <c r="K3" s="165">
        <f t="shared" si="0"/>
        <v>43100</v>
      </c>
      <c r="L3" s="165">
        <f t="shared" si="0"/>
        <v>43190</v>
      </c>
      <c r="M3" s="165">
        <f t="shared" ref="M3:R3" si="1">EOMONTH(L3,3)</f>
        <v>43281</v>
      </c>
      <c r="N3" s="165">
        <f t="shared" si="1"/>
        <v>43373</v>
      </c>
      <c r="O3" s="165">
        <f t="shared" si="1"/>
        <v>43465</v>
      </c>
      <c r="P3" s="165">
        <f t="shared" si="1"/>
        <v>43555</v>
      </c>
      <c r="Q3" s="165">
        <f t="shared" si="1"/>
        <v>43646</v>
      </c>
      <c r="R3" s="165">
        <f t="shared" si="1"/>
        <v>43738</v>
      </c>
      <c r="S3" s="165">
        <f t="shared" si="0"/>
        <v>43830</v>
      </c>
      <c r="T3" s="165">
        <f t="shared" ref="T3" si="2">EOMONTH(S3,3)</f>
        <v>43921</v>
      </c>
      <c r="U3" s="165">
        <f t="shared" ref="U3" si="3">EOMONTH(T3,3)</f>
        <v>44012</v>
      </c>
      <c r="V3" s="165">
        <f t="shared" ref="V3" si="4">EOMONTH(U3,3)</f>
        <v>44104</v>
      </c>
      <c r="W3" s="165">
        <f t="shared" ref="W3" si="5">EOMONTH(V3,3)</f>
        <v>44196</v>
      </c>
      <c r="X3" s="165">
        <f t="shared" ref="X3" si="6">EOMONTH(W3,3)</f>
        <v>44286</v>
      </c>
      <c r="Y3" s="165">
        <f t="shared" ref="Y3" si="7">EOMONTH(X3,3)</f>
        <v>44377</v>
      </c>
      <c r="Z3" s="165">
        <f t="shared" ref="Z3" si="8">EOMONTH(Y3,3)</f>
        <v>44469</v>
      </c>
      <c r="AA3" s="165">
        <f t="shared" ref="AA3" si="9">EOMONTH(Z3,3)</f>
        <v>44561</v>
      </c>
      <c r="AB3" s="165">
        <f t="shared" ref="AB3" si="10">EOMONTH(AA3,3)</f>
        <v>44651</v>
      </c>
      <c r="AC3" s="165">
        <f t="shared" ref="AC3" si="11">EOMONTH(AB3,3)</f>
        <v>44742</v>
      </c>
      <c r="AD3" s="165">
        <f t="shared" ref="AD3" si="12">EOMONTH(AC3,3)</f>
        <v>44834</v>
      </c>
      <c r="AE3" s="165">
        <f t="shared" ref="AE3" si="13">EOMONTH(AD3,3)</f>
        <v>44926</v>
      </c>
      <c r="AF3" s="165">
        <f t="shared" ref="AF3" si="14">EOMONTH(AE3,3)</f>
        <v>45016</v>
      </c>
      <c r="AG3" s="165">
        <f t="shared" ref="AG3" si="15">EOMONTH(AF3,3)</f>
        <v>45107</v>
      </c>
      <c r="AH3" s="165">
        <f t="shared" ref="AH3" si="16">EOMONTH(AG3,3)</f>
        <v>45199</v>
      </c>
      <c r="AI3" s="165">
        <f t="shared" ref="AI3" si="17">EOMONTH(AH3,3)</f>
        <v>45291</v>
      </c>
      <c r="AJ3" s="165">
        <f t="shared" ref="AJ3" si="18">EOMONTH(AI3,3)</f>
        <v>45382</v>
      </c>
      <c r="AK3" s="165">
        <f t="shared" ref="AK3" si="19">EOMONTH(AJ3,3)</f>
        <v>45473</v>
      </c>
      <c r="AL3" s="165">
        <f t="shared" ref="AL3" si="20">EOMONTH(AK3,3)</f>
        <v>45565</v>
      </c>
      <c r="AM3" s="165">
        <f t="shared" ref="AM3" si="21">EOMONTH(AL3,3)</f>
        <v>45657</v>
      </c>
      <c r="AN3" s="165">
        <f t="shared" ref="AN3" si="22">EOMONTH(AM3,3)</f>
        <v>45747</v>
      </c>
      <c r="AO3" s="165">
        <f t="shared" ref="AO3" si="23">EOMONTH(AN3,3)</f>
        <v>45838</v>
      </c>
      <c r="AP3" s="165">
        <f t="shared" ref="AP3" si="24">EOMONTH(AO3,3)</f>
        <v>45930</v>
      </c>
      <c r="AQ3" s="165">
        <f t="shared" ref="AQ3" si="25">EOMONTH(AP3,3)</f>
        <v>46022</v>
      </c>
      <c r="AR3" s="165">
        <f t="shared" ref="AR3" si="26">EOMONTH(AQ3,3)</f>
        <v>46112</v>
      </c>
      <c r="AS3" s="165">
        <f t="shared" ref="AS3" si="27">EOMONTH(AR3,3)</f>
        <v>46203</v>
      </c>
      <c r="AT3" s="165">
        <f t="shared" ref="AT3" si="28">EOMONTH(AS3,3)</f>
        <v>46295</v>
      </c>
      <c r="AU3" s="165">
        <f t="shared" ref="AU3" si="29">EOMONTH(AT3,3)</f>
        <v>46387</v>
      </c>
      <c r="AV3" s="165">
        <f t="shared" ref="AV3" si="30">EOMONTH(AU3,3)</f>
        <v>46477</v>
      </c>
      <c r="AW3" s="165">
        <f t="shared" ref="AW3" si="31">EOMONTH(AV3,3)</f>
        <v>46568</v>
      </c>
      <c r="AX3" s="165">
        <f t="shared" ref="AX3" si="32">EOMONTH(AW3,3)</f>
        <v>46660</v>
      </c>
      <c r="AY3" s="165">
        <f t="shared" ref="AY3" si="33">EOMONTH(AX3,3)</f>
        <v>46752</v>
      </c>
      <c r="AZ3" s="165">
        <f t="shared" ref="AZ3" si="34">EOMONTH(AY3,3)</f>
        <v>46843</v>
      </c>
      <c r="BA3" s="165">
        <f t="shared" ref="BA3" si="35">EOMONTH(AZ3,3)</f>
        <v>46934</v>
      </c>
      <c r="BB3" s="165">
        <f t="shared" ref="BB3" si="36">EOMONTH(BA3,3)</f>
        <v>47026</v>
      </c>
    </row>
    <row r="4" spans="2:54">
      <c r="B4" s="392" t="s">
        <v>248</v>
      </c>
      <c r="C4" s="393">
        <f>'Balance Sheet'!C4</f>
        <v>37568</v>
      </c>
      <c r="D4" s="393">
        <f>'Balance Sheet'!D4</f>
        <v>47574</v>
      </c>
      <c r="E4" s="393">
        <f>'Balance Sheet'!E4</f>
        <v>49666</v>
      </c>
      <c r="F4" s="393">
        <f>'Balance Sheet'!F4</f>
        <v>45915</v>
      </c>
      <c r="G4" s="393">
        <f>'Balance Sheet'!G4</f>
        <v>49518</v>
      </c>
      <c r="H4" s="393">
        <f>'Balance Sheet'!H4</f>
        <v>31648</v>
      </c>
      <c r="I4" s="393">
        <f>'Balance Sheet'!I4</f>
        <v>27300</v>
      </c>
      <c r="J4" s="393">
        <f>'Balance Sheet'!J4</f>
        <v>47968</v>
      </c>
      <c r="K4" s="393">
        <f>'Balance Sheet'!K4</f>
        <v>67571</v>
      </c>
      <c r="L4" s="393">
        <f>'Balance Sheet'!L4</f>
        <v>52024</v>
      </c>
      <c r="M4" s="393">
        <f>'Balance Sheet'!M4</f>
        <v>48886</v>
      </c>
      <c r="N4" s="393">
        <f>'Balance Sheet'!N4</f>
        <v>37969</v>
      </c>
      <c r="O4" s="393">
        <f>'Balance Sheet'!O4</f>
        <v>46624</v>
      </c>
      <c r="P4" s="393">
        <f>'Balance Sheet'!P4</f>
        <v>35084</v>
      </c>
      <c r="Q4" s="393">
        <f>'Balance Sheet'!Q4</f>
        <v>37555</v>
      </c>
      <c r="R4" s="393">
        <f>'Balance Sheet'!R4</f>
        <v>37030</v>
      </c>
      <c r="S4" s="393">
        <f>'Balance Sheet'!S4</f>
        <v>38345</v>
      </c>
      <c r="T4" s="393">
        <f>'Balance Sheet'!T4</f>
        <v>118232</v>
      </c>
      <c r="U4" s="393">
        <f>'Balance Sheet'!U4</f>
        <v>49102</v>
      </c>
      <c r="V4" s="393">
        <f>'Balance Sheet'!V4</f>
        <v>46335</v>
      </c>
      <c r="W4" s="393">
        <f>'Balance Sheet'!W4</f>
        <v>35942</v>
      </c>
      <c r="X4" s="393">
        <f>'Balance Sheet'!X4</f>
        <v>48157</v>
      </c>
      <c r="Y4" s="393">
        <f>'Balance Sheet'!Y4</f>
        <v>111704</v>
      </c>
      <c r="Z4" s="393">
        <f>'Balance Sheet'!Z4</f>
        <v>46717</v>
      </c>
      <c r="AA4" s="393">
        <f>'Balance Sheet'!AA4</f>
        <v>50514</v>
      </c>
      <c r="AB4" s="393">
        <f>'Balance Sheet'!AB4</f>
        <v>53325</v>
      </c>
      <c r="AC4" s="393">
        <f>'Balance Sheet'!AC4</f>
        <v>41971</v>
      </c>
      <c r="AD4" s="393">
        <f>'Balance Sheet'!AD4</f>
        <v>52660</v>
      </c>
      <c r="AE4" s="393">
        <f>'Balance Sheet'!AE4</f>
        <v>31998</v>
      </c>
      <c r="AF4" s="393">
        <f>'Balance Sheet'!AF4</f>
        <v>42966</v>
      </c>
      <c r="AG4" s="393">
        <v>42966</v>
      </c>
      <c r="AH4" s="393">
        <f>'Balance Sheet'!AH4</f>
        <v>46981</v>
      </c>
      <c r="AI4" s="393">
        <f>'Balance Sheet'!AI4</f>
        <v>48978</v>
      </c>
      <c r="AJ4" s="393">
        <f>'Balance Sheet'!AJ4</f>
        <v>48996</v>
      </c>
      <c r="AK4" s="393">
        <f>'Balance Sheet'!AK4</f>
        <v>51071</v>
      </c>
      <c r="AL4" s="393">
        <f>'Balance Sheet'!AL4</f>
        <v>60903</v>
      </c>
      <c r="AM4" s="393">
        <f>'Balance Sheet'!AM4</f>
        <v>53197</v>
      </c>
      <c r="AN4" s="393">
        <f>'Balance Sheet'!AN4</f>
        <v>57600</v>
      </c>
      <c r="AO4" s="393">
        <f>'Balance Sheet'!AO4</f>
        <v>59560</v>
      </c>
      <c r="AP4" s="393">
        <f>'Balance Sheet'!AP4</f>
        <v>61979</v>
      </c>
      <c r="AQ4" s="393">
        <f>'Balance Sheet'!AQ4</f>
        <v>61247</v>
      </c>
      <c r="AR4" s="393">
        <f>'Balance Sheet'!AR4</f>
        <v>60860</v>
      </c>
      <c r="AS4" s="393">
        <f>'Balance Sheet'!AS4</f>
        <v>0</v>
      </c>
      <c r="AT4" s="393">
        <f>'Balance Sheet'!AT4</f>
        <v>0</v>
      </c>
      <c r="AU4" s="393">
        <f>'Balance Sheet'!AU4</f>
        <v>0</v>
      </c>
      <c r="AV4" s="393">
        <f>'Balance Sheet'!AV4</f>
        <v>0</v>
      </c>
      <c r="AW4" s="393">
        <f>'Balance Sheet'!AW4</f>
        <v>0</v>
      </c>
      <c r="AX4" s="393">
        <f>'Balance Sheet'!AX4</f>
        <v>0</v>
      </c>
      <c r="AY4" s="393">
        <f>'Balance Sheet'!AY4</f>
        <v>0</v>
      </c>
      <c r="AZ4" s="393">
        <f>'Balance Sheet'!AZ4</f>
        <v>0</v>
      </c>
      <c r="BA4" s="393">
        <f>'Balance Sheet'!BA4</f>
        <v>0</v>
      </c>
      <c r="BB4" s="393">
        <f>'Balance Sheet'!BB4</f>
        <v>0</v>
      </c>
    </row>
    <row r="5" spans="2:54">
      <c r="B5" s="198" t="s">
        <v>249</v>
      </c>
      <c r="C5" s="107">
        <v>255000</v>
      </c>
      <c r="D5" s="107">
        <v>300000</v>
      </c>
      <c r="E5" s="107">
        <v>360000</v>
      </c>
      <c r="F5" s="107">
        <v>360000</v>
      </c>
      <c r="G5" s="107">
        <v>385000</v>
      </c>
      <c r="H5" s="107">
        <v>400000</v>
      </c>
      <c r="I5" s="107">
        <v>530841</v>
      </c>
      <c r="J5" s="107">
        <v>599856</v>
      </c>
      <c r="K5" s="107">
        <v>568035</v>
      </c>
      <c r="L5" s="107">
        <v>600000</v>
      </c>
      <c r="M5" s="107">
        <v>677357</v>
      </c>
      <c r="N5" s="107">
        <v>743884</v>
      </c>
      <c r="O5" s="107">
        <v>694669</v>
      </c>
      <c r="P5" s="107">
        <v>766697</v>
      </c>
      <c r="Q5" s="107">
        <v>852724</v>
      </c>
      <c r="R5" s="107">
        <v>919962</v>
      </c>
      <c r="S5" s="107">
        <v>940129</v>
      </c>
      <c r="T5" s="107">
        <v>905836</v>
      </c>
      <c r="U5" s="107">
        <v>900104</v>
      </c>
      <c r="V5" s="107">
        <v>900104</v>
      </c>
      <c r="W5" s="107">
        <v>950000</v>
      </c>
      <c r="X5" s="107">
        <v>950000</v>
      </c>
      <c r="Y5" s="107">
        <v>1326189</v>
      </c>
      <c r="Z5" s="107">
        <v>1150000</v>
      </c>
      <c r="AA5" s="107">
        <v>1150000</v>
      </c>
      <c r="AB5" s="107">
        <v>1150000</v>
      </c>
      <c r="AC5" s="107">
        <v>1400000</v>
      </c>
      <c r="AD5" s="107">
        <v>1400000</v>
      </c>
      <c r="AE5" s="107">
        <v>1400000</v>
      </c>
      <c r="AF5" s="107">
        <v>1400000</v>
      </c>
      <c r="AG5" s="199">
        <v>1430000</v>
      </c>
      <c r="AH5" s="107">
        <f>AG5</f>
        <v>1430000</v>
      </c>
      <c r="AI5" s="199">
        <v>1654436</v>
      </c>
      <c r="AJ5" s="107">
        <v>1869526.321</v>
      </c>
      <c r="AK5" s="107">
        <v>1905000</v>
      </c>
      <c r="AL5" s="107">
        <v>1905000</v>
      </c>
      <c r="AM5" s="199">
        <v>1797917</v>
      </c>
      <c r="AN5" s="199">
        <v>1972273</v>
      </c>
      <c r="AO5" s="107">
        <v>2053804</v>
      </c>
      <c r="AP5" s="107">
        <v>2119185</v>
      </c>
      <c r="AQ5" s="107">
        <v>1921116</v>
      </c>
      <c r="AR5" s="107">
        <v>1992352</v>
      </c>
      <c r="AS5" s="107"/>
      <c r="AT5" s="107"/>
      <c r="AU5" s="107"/>
      <c r="AV5" s="107"/>
      <c r="AW5" s="107"/>
      <c r="AX5" s="107"/>
      <c r="AY5" s="107"/>
      <c r="AZ5" s="107"/>
      <c r="BA5" s="107"/>
      <c r="BB5" s="107"/>
    </row>
    <row r="6" spans="2:54">
      <c r="B6" s="198" t="s">
        <v>250</v>
      </c>
      <c r="C6" s="107">
        <v>-230000</v>
      </c>
      <c r="D6" s="107">
        <v>-248000</v>
      </c>
      <c r="E6" s="107">
        <v>-260000</v>
      </c>
      <c r="F6" s="107">
        <v>-280000</v>
      </c>
      <c r="G6" s="107">
        <v>-325000</v>
      </c>
      <c r="H6" s="107">
        <v>-350000</v>
      </c>
      <c r="I6" s="107">
        <v>-370000</v>
      </c>
      <c r="J6" s="107">
        <v>-390000</v>
      </c>
      <c r="K6" s="107">
        <v>-400000</v>
      </c>
      <c r="L6" s="107">
        <v>-510000</v>
      </c>
      <c r="M6" s="107">
        <v>-495000</v>
      </c>
      <c r="N6" s="107">
        <v>-638762</v>
      </c>
      <c r="O6" s="107">
        <v>-663762</v>
      </c>
      <c r="P6" s="107">
        <v>-685212</v>
      </c>
      <c r="Q6" s="107">
        <v>-674962</v>
      </c>
      <c r="R6" s="107">
        <v>-760280</v>
      </c>
      <c r="S6" s="107">
        <v>-699559</v>
      </c>
      <c r="T6" s="107">
        <v>-752717</v>
      </c>
      <c r="U6" s="107">
        <v>-597576</v>
      </c>
      <c r="V6" s="107">
        <v>-597576</v>
      </c>
      <c r="W6" s="107">
        <v>-546621</v>
      </c>
      <c r="X6" s="107">
        <v>-421465</v>
      </c>
      <c r="Y6" s="107">
        <v>-600274</v>
      </c>
      <c r="Z6" s="107">
        <f>-679040-3008</f>
        <v>-682048</v>
      </c>
      <c r="AA6" s="553">
        <v>-817400</v>
      </c>
      <c r="AB6" s="553">
        <f>-1015057</f>
        <v>-1015057</v>
      </c>
      <c r="AC6" s="107">
        <v>-1168617</v>
      </c>
      <c r="AD6" s="107">
        <v>-1242316</v>
      </c>
      <c r="AE6" s="107">
        <f>-(828350+300000)</f>
        <v>-1128350</v>
      </c>
      <c r="AF6" s="107">
        <v>-1056240.923</v>
      </c>
      <c r="AG6" s="107">
        <v>-1068132</v>
      </c>
      <c r="AH6" s="107">
        <f>-(1204215)</f>
        <v>-1204215</v>
      </c>
      <c r="AI6" s="199">
        <v>-1269633</v>
      </c>
      <c r="AJ6" s="199">
        <v>-1403055</v>
      </c>
      <c r="AK6" s="107">
        <v>-1519700</v>
      </c>
      <c r="AL6" s="107">
        <f>-(863298.837+700000)</f>
        <v>-1563298.8370000001</v>
      </c>
      <c r="AM6" s="107">
        <f>-(401946+1100000)</f>
        <v>-1501946</v>
      </c>
      <c r="AN6" s="107">
        <f>-(544413+1100000)</f>
        <v>-1644413</v>
      </c>
      <c r="AO6" s="107">
        <f>-(662590+1100000)</f>
        <v>-1762590</v>
      </c>
      <c r="AP6" s="107">
        <v>-1723590</v>
      </c>
      <c r="AQ6" s="107">
        <v>-1627641</v>
      </c>
      <c r="AR6" s="107">
        <v>-1678870</v>
      </c>
      <c r="AS6" s="107"/>
      <c r="AT6" s="107"/>
      <c r="AU6" s="107"/>
      <c r="AV6" s="107"/>
      <c r="AW6" s="107"/>
      <c r="AX6" s="107"/>
      <c r="AY6" s="107"/>
      <c r="AZ6" s="107"/>
      <c r="BA6" s="107"/>
      <c r="BB6" s="107"/>
    </row>
    <row r="7" spans="2:54">
      <c r="B7" s="198" t="s">
        <v>251</v>
      </c>
      <c r="C7" s="107">
        <v>-3447</v>
      </c>
      <c r="D7" s="107">
        <v>-7631</v>
      </c>
      <c r="E7" s="107">
        <v>-7631</v>
      </c>
      <c r="F7" s="107">
        <v>-7023</v>
      </c>
      <c r="G7" s="107">
        <v>-6326</v>
      </c>
      <c r="H7" s="107">
        <v>-6715</v>
      </c>
      <c r="I7" s="107">
        <v>-6871</v>
      </c>
      <c r="J7" s="107">
        <v>-6871</v>
      </c>
      <c r="K7" s="107">
        <v>-6729</v>
      </c>
      <c r="L7" s="107">
        <v>-6020</v>
      </c>
      <c r="M7" s="107">
        <v>-10083</v>
      </c>
      <c r="N7" s="107">
        <v>-5310</v>
      </c>
      <c r="O7" s="107">
        <v>-5110</v>
      </c>
      <c r="P7" s="107">
        <f>-5110-1873</f>
        <v>-6983</v>
      </c>
      <c r="Q7" s="107">
        <f>-9183-1460</f>
        <v>-10643</v>
      </c>
      <c r="R7" s="107">
        <v>-14520</v>
      </c>
      <c r="S7" s="107">
        <v>-11650</v>
      </c>
      <c r="T7" s="107">
        <v>-15001</v>
      </c>
      <c r="U7" s="107">
        <f>-18741-857</f>
        <v>-19598</v>
      </c>
      <c r="V7" s="107">
        <f>-18741-857</f>
        <v>-19598</v>
      </c>
      <c r="W7" s="107">
        <v>-10478</v>
      </c>
      <c r="X7" s="107">
        <v>-10292</v>
      </c>
      <c r="Y7" s="107">
        <f>-10292-2075</f>
        <v>-12367</v>
      </c>
      <c r="Z7" s="107">
        <v>-8333</v>
      </c>
      <c r="AA7" s="553">
        <v>-9100</v>
      </c>
      <c r="AB7" s="553">
        <f>-25012-1586</f>
        <v>-26598</v>
      </c>
      <c r="AC7" s="107">
        <f>-26872</f>
        <v>-26872</v>
      </c>
      <c r="AD7" s="107">
        <v>-29772</v>
      </c>
      <c r="AE7" s="199">
        <v>-33407.816050000001</v>
      </c>
      <c r="AF7" s="553">
        <v>26436.579000000002</v>
      </c>
      <c r="AG7" s="199">
        <v>-18806.934000000001</v>
      </c>
      <c r="AH7" s="107">
        <v>-28115</v>
      </c>
      <c r="AI7" s="199">
        <v>-28115.223000000002</v>
      </c>
      <c r="AJ7" s="107">
        <v>-22484.782999999999</v>
      </c>
      <c r="AK7" s="107">
        <v>-29463</v>
      </c>
      <c r="AL7" s="107">
        <v>-26115.574000000001</v>
      </c>
      <c r="AM7" s="199">
        <v>-24548</v>
      </c>
      <c r="AN7" s="199">
        <v>-24548</v>
      </c>
      <c r="AO7" s="107">
        <f>-27363</f>
        <v>-27363</v>
      </c>
      <c r="AP7" s="107">
        <v>-27000</v>
      </c>
      <c r="AQ7" s="107">
        <v>-19497</v>
      </c>
      <c r="AR7" s="107">
        <v>-19292</v>
      </c>
      <c r="AS7" s="107"/>
      <c r="AT7" s="107"/>
      <c r="AU7" s="107"/>
      <c r="AV7" s="107"/>
      <c r="AW7" s="107"/>
      <c r="AX7" s="107"/>
      <c r="AY7" s="107"/>
      <c r="AZ7" s="107"/>
      <c r="BA7" s="107"/>
      <c r="BB7" s="107"/>
    </row>
    <row r="8" spans="2:54">
      <c r="B8" s="198" t="s">
        <v>252</v>
      </c>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v>-780</v>
      </c>
      <c r="AD8" s="107">
        <v>-588</v>
      </c>
      <c r="AE8" s="199">
        <v>-1618.8691699999999</v>
      </c>
      <c r="AF8" s="553">
        <v>-1529</v>
      </c>
      <c r="AG8" s="199">
        <v>-1692.338</v>
      </c>
      <c r="AH8" s="107">
        <v>-1485</v>
      </c>
      <c r="AI8" s="199">
        <v>-1876</v>
      </c>
      <c r="AJ8" s="107">
        <v>-1528.499</v>
      </c>
      <c r="AK8" s="107">
        <v>-1032</v>
      </c>
      <c r="AL8" s="107">
        <v>-1010.765</v>
      </c>
      <c r="AM8" s="199">
        <v>-920</v>
      </c>
      <c r="AN8" s="199">
        <v>-907</v>
      </c>
      <c r="AO8" s="107">
        <v>-873</v>
      </c>
      <c r="AP8" s="107">
        <v>-668</v>
      </c>
      <c r="AQ8" s="107">
        <v>-349</v>
      </c>
      <c r="AR8" s="107">
        <v>-84</v>
      </c>
      <c r="AS8" s="107"/>
      <c r="AT8" s="107"/>
      <c r="AU8" s="107"/>
      <c r="AV8" s="107"/>
      <c r="AW8" s="107"/>
      <c r="AX8" s="107"/>
      <c r="AY8" s="107"/>
      <c r="AZ8" s="107"/>
      <c r="BA8" s="107"/>
      <c r="BB8" s="107"/>
    </row>
    <row r="9" spans="2:54">
      <c r="B9" s="401" t="s">
        <v>253</v>
      </c>
      <c r="C9" s="166">
        <f t="shared" ref="C9:W9" si="37">SUM(C4:C7)</f>
        <v>59121</v>
      </c>
      <c r="D9" s="166">
        <f t="shared" si="37"/>
        <v>91943</v>
      </c>
      <c r="E9" s="166">
        <f t="shared" si="37"/>
        <v>142035</v>
      </c>
      <c r="F9" s="166">
        <f t="shared" si="37"/>
        <v>118892</v>
      </c>
      <c r="G9" s="166">
        <f t="shared" si="37"/>
        <v>103192</v>
      </c>
      <c r="H9" s="166">
        <f t="shared" si="37"/>
        <v>74933</v>
      </c>
      <c r="I9" s="166">
        <f t="shared" si="37"/>
        <v>181270</v>
      </c>
      <c r="J9" s="166">
        <f t="shared" si="37"/>
        <v>250953</v>
      </c>
      <c r="K9" s="166">
        <f t="shared" si="37"/>
        <v>228877</v>
      </c>
      <c r="L9" s="166">
        <f t="shared" si="37"/>
        <v>136004</v>
      </c>
      <c r="M9" s="166">
        <f t="shared" si="37"/>
        <v>221160</v>
      </c>
      <c r="N9" s="166">
        <f t="shared" si="37"/>
        <v>137781</v>
      </c>
      <c r="O9" s="166">
        <f t="shared" si="37"/>
        <v>72421</v>
      </c>
      <c r="P9" s="166">
        <f t="shared" si="37"/>
        <v>109586</v>
      </c>
      <c r="Q9" s="166">
        <f t="shared" si="37"/>
        <v>204674</v>
      </c>
      <c r="R9" s="166">
        <f t="shared" si="37"/>
        <v>182192</v>
      </c>
      <c r="S9" s="166">
        <f t="shared" si="37"/>
        <v>267265</v>
      </c>
      <c r="T9" s="166">
        <f t="shared" si="37"/>
        <v>256350</v>
      </c>
      <c r="U9" s="166">
        <f t="shared" si="37"/>
        <v>332032</v>
      </c>
      <c r="V9" s="166">
        <f t="shared" si="37"/>
        <v>329265</v>
      </c>
      <c r="W9" s="166">
        <f t="shared" si="37"/>
        <v>428843</v>
      </c>
      <c r="X9" s="166">
        <f t="shared" ref="X9:AC9" si="38">SUM(X4:X8)</f>
        <v>566400</v>
      </c>
      <c r="Y9" s="166">
        <f t="shared" si="38"/>
        <v>825252</v>
      </c>
      <c r="Z9" s="166">
        <f t="shared" si="38"/>
        <v>506336</v>
      </c>
      <c r="AA9" s="166">
        <f t="shared" si="38"/>
        <v>374014</v>
      </c>
      <c r="AB9" s="166">
        <f t="shared" si="38"/>
        <v>161670</v>
      </c>
      <c r="AC9" s="166">
        <f t="shared" si="38"/>
        <v>245702</v>
      </c>
      <c r="AD9" s="166">
        <f>SUM(AD4:AD8)</f>
        <v>179984</v>
      </c>
      <c r="AE9" s="166">
        <f t="shared" ref="AE9:AP9" si="39">SUM(AE4:AE8)</f>
        <v>268621.31477999996</v>
      </c>
      <c r="AF9" s="166">
        <f t="shared" si="39"/>
        <v>411632.65600000008</v>
      </c>
      <c r="AG9" s="166">
        <f t="shared" si="39"/>
        <v>384334.728</v>
      </c>
      <c r="AH9" s="166">
        <f t="shared" si="39"/>
        <v>243166</v>
      </c>
      <c r="AI9" s="166">
        <f t="shared" si="39"/>
        <v>403789.777</v>
      </c>
      <c r="AJ9" s="166">
        <f t="shared" si="39"/>
        <v>491454.03899999999</v>
      </c>
      <c r="AK9" s="166">
        <f t="shared" si="39"/>
        <v>405876</v>
      </c>
      <c r="AL9" s="166">
        <f t="shared" si="39"/>
        <v>375477.82399999991</v>
      </c>
      <c r="AM9" s="166">
        <f t="shared" si="39"/>
        <v>323700</v>
      </c>
      <c r="AN9" s="166">
        <f t="shared" si="39"/>
        <v>360005</v>
      </c>
      <c r="AO9" s="166">
        <f t="shared" si="39"/>
        <v>322538</v>
      </c>
      <c r="AP9" s="166">
        <f t="shared" si="39"/>
        <v>429906</v>
      </c>
      <c r="AQ9" s="166">
        <f t="shared" ref="AQ9:BB9" si="40">SUM(AQ4:AQ8)</f>
        <v>334876</v>
      </c>
      <c r="AR9" s="166">
        <f>SUM(AR4:AR8)</f>
        <v>354966</v>
      </c>
      <c r="AS9" s="166">
        <f t="shared" si="40"/>
        <v>0</v>
      </c>
      <c r="AT9" s="166">
        <f t="shared" si="40"/>
        <v>0</v>
      </c>
      <c r="AU9" s="166">
        <f t="shared" si="40"/>
        <v>0</v>
      </c>
      <c r="AV9" s="166">
        <f t="shared" si="40"/>
        <v>0</v>
      </c>
      <c r="AW9" s="166">
        <f t="shared" si="40"/>
        <v>0</v>
      </c>
      <c r="AX9" s="166">
        <f t="shared" si="40"/>
        <v>0</v>
      </c>
      <c r="AY9" s="166">
        <f t="shared" si="40"/>
        <v>0</v>
      </c>
      <c r="AZ9" s="166">
        <f t="shared" si="40"/>
        <v>0</v>
      </c>
      <c r="BA9" s="166">
        <f t="shared" si="40"/>
        <v>0</v>
      </c>
      <c r="BB9" s="166">
        <f t="shared" si="40"/>
        <v>0</v>
      </c>
    </row>
    <row r="10" spans="2:54">
      <c r="B10" s="105" t="s">
        <v>129</v>
      </c>
      <c r="C10" s="172">
        <v>40000</v>
      </c>
      <c r="D10" s="172">
        <v>40000</v>
      </c>
      <c r="E10" s="172">
        <v>40000</v>
      </c>
      <c r="F10" s="172">
        <v>40000</v>
      </c>
      <c r="G10" s="172">
        <v>40000</v>
      </c>
      <c r="H10" s="172">
        <v>40000</v>
      </c>
      <c r="I10" s="172">
        <v>50000</v>
      </c>
      <c r="J10" s="172">
        <v>50000</v>
      </c>
      <c r="K10" s="172">
        <v>50000</v>
      </c>
      <c r="L10" s="172">
        <v>50000</v>
      </c>
      <c r="M10" s="172">
        <v>50000</v>
      </c>
      <c r="N10" s="172">
        <v>50000</v>
      </c>
      <c r="O10" s="172">
        <v>50000</v>
      </c>
      <c r="P10" s="172">
        <v>50000</v>
      </c>
      <c r="Q10" s="172">
        <v>50000</v>
      </c>
      <c r="R10" s="172">
        <v>50000</v>
      </c>
      <c r="S10" s="172">
        <v>50000</v>
      </c>
      <c r="T10" s="172">
        <v>50000</v>
      </c>
      <c r="U10" s="172">
        <v>50000</v>
      </c>
      <c r="V10" s="172">
        <v>50000</v>
      </c>
      <c r="W10" s="172">
        <v>50000</v>
      </c>
      <c r="X10" s="172">
        <v>50000</v>
      </c>
      <c r="Y10" s="172">
        <v>50000</v>
      </c>
      <c r="Z10" s="172">
        <v>50000</v>
      </c>
      <c r="AA10" s="172">
        <v>50000</v>
      </c>
      <c r="AB10" s="172">
        <v>50000</v>
      </c>
      <c r="AC10" s="172">
        <f t="shared" ref="AC10:AI10" si="41">AB10</f>
        <v>50000</v>
      </c>
      <c r="AD10" s="172">
        <f t="shared" si="41"/>
        <v>50000</v>
      </c>
      <c r="AE10" s="172">
        <f t="shared" si="41"/>
        <v>50000</v>
      </c>
      <c r="AF10" s="172">
        <f t="shared" si="41"/>
        <v>50000</v>
      </c>
      <c r="AG10" s="172">
        <f t="shared" si="41"/>
        <v>50000</v>
      </c>
      <c r="AH10" s="172">
        <f t="shared" si="41"/>
        <v>50000</v>
      </c>
      <c r="AI10" s="172">
        <f t="shared" si="41"/>
        <v>50000</v>
      </c>
      <c r="AJ10" s="172">
        <f t="shared" ref="AJ10:AO10" si="42">AI10</f>
        <v>50000</v>
      </c>
      <c r="AK10" s="172">
        <f t="shared" si="42"/>
        <v>50000</v>
      </c>
      <c r="AL10" s="172">
        <f t="shared" si="42"/>
        <v>50000</v>
      </c>
      <c r="AM10" s="172">
        <f t="shared" si="42"/>
        <v>50000</v>
      </c>
      <c r="AN10" s="172">
        <f t="shared" si="42"/>
        <v>50000</v>
      </c>
      <c r="AO10" s="172">
        <f t="shared" si="42"/>
        <v>50000</v>
      </c>
      <c r="AP10" s="172">
        <v>100000</v>
      </c>
      <c r="AQ10" s="172">
        <f>AP10</f>
        <v>100000</v>
      </c>
      <c r="AR10" s="172">
        <f t="shared" ref="AR10:BB10" si="43">AQ10</f>
        <v>100000</v>
      </c>
      <c r="AS10" s="172">
        <f t="shared" si="43"/>
        <v>100000</v>
      </c>
      <c r="AT10" s="172">
        <f t="shared" si="43"/>
        <v>100000</v>
      </c>
      <c r="AU10" s="172">
        <f t="shared" si="43"/>
        <v>100000</v>
      </c>
      <c r="AV10" s="172">
        <f t="shared" si="43"/>
        <v>100000</v>
      </c>
      <c r="AW10" s="172">
        <f t="shared" si="43"/>
        <v>100000</v>
      </c>
      <c r="AX10" s="172">
        <f t="shared" si="43"/>
        <v>100000</v>
      </c>
      <c r="AY10" s="172">
        <f t="shared" si="43"/>
        <v>100000</v>
      </c>
      <c r="AZ10" s="172">
        <f t="shared" si="43"/>
        <v>100000</v>
      </c>
      <c r="BA10" s="172">
        <f t="shared" si="43"/>
        <v>100000</v>
      </c>
      <c r="BB10" s="172">
        <f t="shared" si="43"/>
        <v>100000</v>
      </c>
    </row>
    <row r="11" spans="2:54" ht="14.5">
      <c r="B11" s="106" t="s">
        <v>131</v>
      </c>
      <c r="C11" s="170">
        <f t="shared" ref="C11:F11" si="44">C9-C10</f>
        <v>19121</v>
      </c>
      <c r="D11" s="170">
        <f t="shared" si="44"/>
        <v>51943</v>
      </c>
      <c r="E11" s="170">
        <f t="shared" si="44"/>
        <v>102035</v>
      </c>
      <c r="F11" s="170">
        <f t="shared" si="44"/>
        <v>78892</v>
      </c>
      <c r="G11" s="170">
        <f>IF(G10="NA","NA",G9-G10)</f>
        <v>63192</v>
      </c>
      <c r="H11" s="170">
        <f t="shared" ref="H11:K11" si="45">IF(H10="NA","NA",H9-H10)</f>
        <v>34933</v>
      </c>
      <c r="I11" s="170">
        <f t="shared" si="45"/>
        <v>131270</v>
      </c>
      <c r="J11" s="170">
        <f t="shared" si="45"/>
        <v>200953</v>
      </c>
      <c r="K11" s="170">
        <f t="shared" si="45"/>
        <v>178877</v>
      </c>
      <c r="L11" s="170">
        <f t="shared" ref="L11:M11" si="46">IF(L10="NA","NA",L9-L10)</f>
        <v>86004</v>
      </c>
      <c r="M11" s="170">
        <f t="shared" si="46"/>
        <v>171160</v>
      </c>
      <c r="N11" s="170">
        <f t="shared" ref="N11:O11" si="47">IF(N10="NA","NA",N9-N10)</f>
        <v>87781</v>
      </c>
      <c r="O11" s="170">
        <f t="shared" si="47"/>
        <v>22421</v>
      </c>
      <c r="P11" s="170">
        <f t="shared" ref="P11:V11" si="48">IF(P10="NA","NA",P9-P10)</f>
        <v>59586</v>
      </c>
      <c r="Q11" s="170">
        <f t="shared" si="48"/>
        <v>154674</v>
      </c>
      <c r="R11" s="170">
        <f t="shared" si="48"/>
        <v>132192</v>
      </c>
      <c r="S11" s="170">
        <f t="shared" si="48"/>
        <v>217265</v>
      </c>
      <c r="T11" s="170">
        <f t="shared" si="48"/>
        <v>206350</v>
      </c>
      <c r="U11" s="170">
        <f t="shared" si="48"/>
        <v>282032</v>
      </c>
      <c r="V11" s="170">
        <f t="shared" si="48"/>
        <v>279265</v>
      </c>
      <c r="W11" s="170">
        <f t="shared" ref="W11:X11" si="49">IF(W10="NA","NA",W9-W10)</f>
        <v>378843</v>
      </c>
      <c r="X11" s="170">
        <f t="shared" si="49"/>
        <v>516400</v>
      </c>
      <c r="Y11" s="170">
        <f t="shared" ref="Y11:Z11" si="50">IF(Y10="NA","NA",Y9-Y10)</f>
        <v>775252</v>
      </c>
      <c r="Z11" s="170">
        <f t="shared" si="50"/>
        <v>456336</v>
      </c>
      <c r="AA11" s="170">
        <f t="shared" ref="AA11:AB11" si="51">IF(AA10="NA","NA",AA9-AA10)</f>
        <v>324014</v>
      </c>
      <c r="AB11" s="170">
        <f t="shared" si="51"/>
        <v>111670</v>
      </c>
      <c r="AC11" s="170">
        <f t="shared" ref="AC11:AE11" si="52">IF(AC10="NA","NA",AC9-AC10)</f>
        <v>195702</v>
      </c>
      <c r="AD11" s="170">
        <f t="shared" si="52"/>
        <v>129984</v>
      </c>
      <c r="AE11" s="170">
        <f t="shared" si="52"/>
        <v>218621.31477999996</v>
      </c>
      <c r="AF11" s="170">
        <f t="shared" ref="AF11:AP11" si="53">IF(AF10="NA","NA",AF9-AF10)</f>
        <v>361632.65600000008</v>
      </c>
      <c r="AG11" s="170">
        <f t="shared" si="53"/>
        <v>334334.728</v>
      </c>
      <c r="AH11" s="170">
        <f t="shared" si="53"/>
        <v>193166</v>
      </c>
      <c r="AI11" s="170">
        <f t="shared" si="53"/>
        <v>353789.777</v>
      </c>
      <c r="AJ11" s="170">
        <f t="shared" si="53"/>
        <v>441454.03899999999</v>
      </c>
      <c r="AK11" s="170">
        <f t="shared" si="53"/>
        <v>355876</v>
      </c>
      <c r="AL11" s="170">
        <f t="shared" si="53"/>
        <v>325477.82399999991</v>
      </c>
      <c r="AM11" s="170">
        <f t="shared" si="53"/>
        <v>273700</v>
      </c>
      <c r="AN11" s="170">
        <f t="shared" si="53"/>
        <v>310005</v>
      </c>
      <c r="AO11" s="170">
        <f t="shared" si="53"/>
        <v>272538</v>
      </c>
      <c r="AP11" s="170">
        <f t="shared" si="53"/>
        <v>329906</v>
      </c>
      <c r="AQ11" s="170">
        <f t="shared" ref="AQ11:BB11" si="54">IF(AQ10="NA","NA",AQ9-AQ10)</f>
        <v>234876</v>
      </c>
      <c r="AR11" s="170">
        <f t="shared" si="54"/>
        <v>254966</v>
      </c>
      <c r="AS11" s="170">
        <f t="shared" si="54"/>
        <v>-100000</v>
      </c>
      <c r="AT11" s="170">
        <f t="shared" si="54"/>
        <v>-100000</v>
      </c>
      <c r="AU11" s="170">
        <f t="shared" si="54"/>
        <v>-100000</v>
      </c>
      <c r="AV11" s="170">
        <f t="shared" si="54"/>
        <v>-100000</v>
      </c>
      <c r="AW11" s="170">
        <f t="shared" si="54"/>
        <v>-100000</v>
      </c>
      <c r="AX11" s="170">
        <f t="shared" si="54"/>
        <v>-100000</v>
      </c>
      <c r="AY11" s="170">
        <f t="shared" si="54"/>
        <v>-100000</v>
      </c>
      <c r="AZ11" s="170">
        <f t="shared" si="54"/>
        <v>-100000</v>
      </c>
      <c r="BA11" s="170">
        <f t="shared" si="54"/>
        <v>-100000</v>
      </c>
      <c r="BB11" s="170">
        <f t="shared" si="54"/>
        <v>-100000</v>
      </c>
    </row>
    <row r="12" spans="2:54" ht="14.5">
      <c r="B12" s="106" t="s">
        <v>132</v>
      </c>
      <c r="C12" s="469">
        <f t="shared" ref="C12:F12" si="55">C11/C10</f>
        <v>0.47802499999999998</v>
      </c>
      <c r="D12" s="469">
        <f t="shared" si="55"/>
        <v>1.298575</v>
      </c>
      <c r="E12" s="469">
        <f t="shared" si="55"/>
        <v>2.550875</v>
      </c>
      <c r="F12" s="469">
        <f t="shared" si="55"/>
        <v>1.9722999999999999</v>
      </c>
      <c r="G12" s="469">
        <f>G11/G10</f>
        <v>1.5798000000000001</v>
      </c>
      <c r="H12" s="469">
        <f t="shared" ref="H12:K12" si="56">H11/H10</f>
        <v>0.87332500000000002</v>
      </c>
      <c r="I12" s="469">
        <f t="shared" si="56"/>
        <v>2.6254</v>
      </c>
      <c r="J12" s="469">
        <f t="shared" si="56"/>
        <v>4.0190599999999996</v>
      </c>
      <c r="K12" s="469">
        <f t="shared" si="56"/>
        <v>3.5775399999999999</v>
      </c>
      <c r="L12" s="469">
        <f t="shared" ref="L12:M12" si="57">L11/L10</f>
        <v>1.7200800000000001</v>
      </c>
      <c r="M12" s="469">
        <f t="shared" si="57"/>
        <v>3.4232</v>
      </c>
      <c r="N12" s="469">
        <f t="shared" ref="N12:O12" si="58">N11/N10</f>
        <v>1.75562</v>
      </c>
      <c r="O12" s="469">
        <f t="shared" si="58"/>
        <v>0.44841999999999999</v>
      </c>
      <c r="P12" s="469">
        <f t="shared" ref="P12:V12" si="59">P11/P10</f>
        <v>1.1917199999999999</v>
      </c>
      <c r="Q12" s="469">
        <f t="shared" si="59"/>
        <v>3.09348</v>
      </c>
      <c r="R12" s="469">
        <f t="shared" si="59"/>
        <v>2.64384</v>
      </c>
      <c r="S12" s="469">
        <f t="shared" si="59"/>
        <v>4.3452999999999999</v>
      </c>
      <c r="T12" s="469">
        <f t="shared" si="59"/>
        <v>4.1269999999999998</v>
      </c>
      <c r="U12" s="469">
        <f t="shared" si="59"/>
        <v>5.6406400000000003</v>
      </c>
      <c r="V12" s="469">
        <f t="shared" si="59"/>
        <v>5.5853000000000002</v>
      </c>
      <c r="W12" s="469">
        <f t="shared" ref="W12:X12" si="60">W11/W10</f>
        <v>7.5768599999999999</v>
      </c>
      <c r="X12" s="469">
        <f t="shared" si="60"/>
        <v>10.327999999999999</v>
      </c>
      <c r="Y12" s="469">
        <f t="shared" ref="Y12:Z12" si="61">Y11/Y10</f>
        <v>15.505039999999999</v>
      </c>
      <c r="Z12" s="469">
        <f t="shared" si="61"/>
        <v>9.1267200000000006</v>
      </c>
      <c r="AA12" s="469">
        <f t="shared" ref="AA12:AB12" si="62">AA11/AA10</f>
        <v>6.4802799999999996</v>
      </c>
      <c r="AB12" s="469">
        <f t="shared" si="62"/>
        <v>2.2334000000000001</v>
      </c>
      <c r="AC12" s="469">
        <f t="shared" ref="AC12:AE12" si="63">AC11/AC10</f>
        <v>3.91404</v>
      </c>
      <c r="AD12" s="469">
        <f t="shared" si="63"/>
        <v>2.5996800000000002</v>
      </c>
      <c r="AE12" s="469">
        <f t="shared" si="63"/>
        <v>4.3724262955999995</v>
      </c>
      <c r="AF12" s="469">
        <f t="shared" ref="AF12:AP12" si="64">AF11/AF10</f>
        <v>7.2326531200000019</v>
      </c>
      <c r="AG12" s="469">
        <f t="shared" si="64"/>
        <v>6.6866945600000003</v>
      </c>
      <c r="AH12" s="469">
        <f t="shared" si="64"/>
        <v>3.8633199999999999</v>
      </c>
      <c r="AI12" s="469">
        <f t="shared" si="64"/>
        <v>7.0757955399999997</v>
      </c>
      <c r="AJ12" s="469">
        <f t="shared" si="64"/>
        <v>8.82908078</v>
      </c>
      <c r="AK12" s="469">
        <f t="shared" si="64"/>
        <v>7.1175199999999998</v>
      </c>
      <c r="AL12" s="469">
        <f t="shared" si="64"/>
        <v>6.5095564799999979</v>
      </c>
      <c r="AM12" s="469">
        <f t="shared" si="64"/>
        <v>5.4740000000000002</v>
      </c>
      <c r="AN12" s="469">
        <f t="shared" si="64"/>
        <v>6.2000999999999999</v>
      </c>
      <c r="AO12" s="469">
        <f t="shared" si="64"/>
        <v>5.4507599999999998</v>
      </c>
      <c r="AP12" s="469">
        <f t="shared" si="64"/>
        <v>3.2990599999999999</v>
      </c>
      <c r="AQ12" s="469">
        <f t="shared" ref="AQ12:BB12" si="65">AQ11/AQ10</f>
        <v>2.34876</v>
      </c>
      <c r="AR12" s="469">
        <f t="shared" si="65"/>
        <v>2.5496599999999998</v>
      </c>
      <c r="AS12" s="469">
        <f t="shared" si="65"/>
        <v>-1</v>
      </c>
      <c r="AT12" s="469">
        <f t="shared" si="65"/>
        <v>-1</v>
      </c>
      <c r="AU12" s="469">
        <f t="shared" si="65"/>
        <v>-1</v>
      </c>
      <c r="AV12" s="469">
        <f t="shared" si="65"/>
        <v>-1</v>
      </c>
      <c r="AW12" s="469">
        <f t="shared" si="65"/>
        <v>-1</v>
      </c>
      <c r="AX12" s="469">
        <f t="shared" si="65"/>
        <v>-1</v>
      </c>
      <c r="AY12" s="469">
        <f t="shared" si="65"/>
        <v>-1</v>
      </c>
      <c r="AZ12" s="469">
        <f t="shared" si="65"/>
        <v>-1</v>
      </c>
      <c r="BA12" s="469">
        <f t="shared" si="65"/>
        <v>-1</v>
      </c>
      <c r="BB12" s="469">
        <f t="shared" si="65"/>
        <v>-1</v>
      </c>
    </row>
    <row r="13" spans="2:54">
      <c r="B13" s="525" t="s">
        <v>130</v>
      </c>
      <c r="C13" s="526" t="str">
        <f t="shared" ref="C13:F13" si="66">IF(C9&gt;=C10,"Compliant","Violation")</f>
        <v>Compliant</v>
      </c>
      <c r="D13" s="526" t="str">
        <f t="shared" si="66"/>
        <v>Compliant</v>
      </c>
      <c r="E13" s="526" t="str">
        <f t="shared" si="66"/>
        <v>Compliant</v>
      </c>
      <c r="F13" s="526" t="str">
        <f t="shared" si="66"/>
        <v>Compliant</v>
      </c>
      <c r="G13" s="526" t="str">
        <f t="shared" ref="G13:L13" si="67">IF(G9&gt;=G10,"Compliant","Violation")</f>
        <v>Compliant</v>
      </c>
      <c r="H13" s="526" t="str">
        <f t="shared" si="67"/>
        <v>Compliant</v>
      </c>
      <c r="I13" s="526" t="str">
        <f t="shared" si="67"/>
        <v>Compliant</v>
      </c>
      <c r="J13" s="526" t="str">
        <f t="shared" si="67"/>
        <v>Compliant</v>
      </c>
      <c r="K13" s="526" t="str">
        <f t="shared" si="67"/>
        <v>Compliant</v>
      </c>
      <c r="L13" s="526" t="str">
        <f t="shared" si="67"/>
        <v>Compliant</v>
      </c>
      <c r="M13" s="526" t="str">
        <f t="shared" ref="M13:N13" si="68">IF(M9&gt;=M10,"Compliant","Violation")</f>
        <v>Compliant</v>
      </c>
      <c r="N13" s="526" t="str">
        <f t="shared" si="68"/>
        <v>Compliant</v>
      </c>
      <c r="O13" s="526" t="str">
        <f t="shared" ref="O13" si="69">IF(O9&gt;=O10,"Compliant","Violation")</f>
        <v>Compliant</v>
      </c>
      <c r="P13" s="526" t="str">
        <f t="shared" ref="P13:V13" si="70">IF(P9&gt;=P10,"Compliant","Violation")</f>
        <v>Compliant</v>
      </c>
      <c r="Q13" s="526" t="str">
        <f t="shared" si="70"/>
        <v>Compliant</v>
      </c>
      <c r="R13" s="526" t="str">
        <f t="shared" si="70"/>
        <v>Compliant</v>
      </c>
      <c r="S13" s="526" t="str">
        <f t="shared" si="70"/>
        <v>Compliant</v>
      </c>
      <c r="T13" s="526" t="str">
        <f t="shared" si="70"/>
        <v>Compliant</v>
      </c>
      <c r="U13" s="526" t="str">
        <f t="shared" si="70"/>
        <v>Compliant</v>
      </c>
      <c r="V13" s="526" t="str">
        <f t="shared" si="70"/>
        <v>Compliant</v>
      </c>
      <c r="W13" s="526" t="str">
        <f t="shared" ref="W13:X13" si="71">IF(W9&gt;=W10,"Compliant","Violation")</f>
        <v>Compliant</v>
      </c>
      <c r="X13" s="526" t="str">
        <f t="shared" si="71"/>
        <v>Compliant</v>
      </c>
      <c r="Y13" s="526" t="str">
        <f t="shared" ref="Y13:Z13" si="72">IF(Y9&gt;=Y10,"Compliant","Violation")</f>
        <v>Compliant</v>
      </c>
      <c r="Z13" s="526" t="str">
        <f t="shared" si="72"/>
        <v>Compliant</v>
      </c>
      <c r="AA13" s="526" t="str">
        <f t="shared" ref="AA13:AB13" si="73">IF(AA9&gt;=AA10,"Compliant","Violation")</f>
        <v>Compliant</v>
      </c>
      <c r="AB13" s="526" t="str">
        <f t="shared" si="73"/>
        <v>Compliant</v>
      </c>
      <c r="AC13" s="526" t="str">
        <f t="shared" ref="AC13:AE13" si="74">IF(AC9&gt;=AC10,"Compliant","Violation")</f>
        <v>Compliant</v>
      </c>
      <c r="AD13" s="526" t="str">
        <f t="shared" si="74"/>
        <v>Compliant</v>
      </c>
      <c r="AE13" s="526" t="str">
        <f t="shared" si="74"/>
        <v>Compliant</v>
      </c>
      <c r="AF13" s="526" t="str">
        <f t="shared" ref="AF13:AP13" si="75">IF(AF9&gt;=AF10,"Compliant","Violation")</f>
        <v>Compliant</v>
      </c>
      <c r="AG13" s="526" t="str">
        <f t="shared" si="75"/>
        <v>Compliant</v>
      </c>
      <c r="AH13" s="526" t="str">
        <f t="shared" si="75"/>
        <v>Compliant</v>
      </c>
      <c r="AI13" s="526" t="str">
        <f t="shared" si="75"/>
        <v>Compliant</v>
      </c>
      <c r="AJ13" s="526" t="str">
        <f t="shared" si="75"/>
        <v>Compliant</v>
      </c>
      <c r="AK13" s="526" t="str">
        <f t="shared" si="75"/>
        <v>Compliant</v>
      </c>
      <c r="AL13" s="526" t="str">
        <f t="shared" si="75"/>
        <v>Compliant</v>
      </c>
      <c r="AM13" s="526" t="str">
        <f t="shared" si="75"/>
        <v>Compliant</v>
      </c>
      <c r="AN13" s="526" t="str">
        <f t="shared" si="75"/>
        <v>Compliant</v>
      </c>
      <c r="AO13" s="526" t="str">
        <f t="shared" si="75"/>
        <v>Compliant</v>
      </c>
      <c r="AP13" s="526" t="str">
        <f t="shared" si="75"/>
        <v>Compliant</v>
      </c>
      <c r="AQ13" s="526" t="str">
        <f t="shared" ref="AQ13:BB13" si="76">IF(AQ9&gt;=AQ10,"Compliant","Violation")</f>
        <v>Compliant</v>
      </c>
      <c r="AR13" s="526" t="str">
        <f t="shared" si="76"/>
        <v>Compliant</v>
      </c>
      <c r="AS13" s="526" t="str">
        <f t="shared" si="76"/>
        <v>Violation</v>
      </c>
      <c r="AT13" s="526" t="str">
        <f t="shared" si="76"/>
        <v>Violation</v>
      </c>
      <c r="AU13" s="526" t="str">
        <f t="shared" si="76"/>
        <v>Violation</v>
      </c>
      <c r="AV13" s="526" t="str">
        <f t="shared" si="76"/>
        <v>Violation</v>
      </c>
      <c r="AW13" s="526" t="str">
        <f t="shared" si="76"/>
        <v>Violation</v>
      </c>
      <c r="AX13" s="526" t="str">
        <f t="shared" si="76"/>
        <v>Violation</v>
      </c>
      <c r="AY13" s="526" t="str">
        <f t="shared" si="76"/>
        <v>Violation</v>
      </c>
      <c r="AZ13" s="526" t="str">
        <f t="shared" si="76"/>
        <v>Violation</v>
      </c>
      <c r="BA13" s="526" t="str">
        <f t="shared" si="76"/>
        <v>Violation</v>
      </c>
      <c r="BB13" s="526" t="str">
        <f t="shared" si="76"/>
        <v>Violation</v>
      </c>
    </row>
    <row r="14" spans="2:54" ht="14.5">
      <c r="B14" s="461"/>
      <c r="C14" s="462"/>
      <c r="D14" s="462"/>
      <c r="E14" s="462"/>
      <c r="F14" s="462"/>
      <c r="G14" s="469"/>
      <c r="H14" s="469"/>
      <c r="I14" s="469"/>
      <c r="J14" s="469"/>
      <c r="K14" s="469"/>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462"/>
      <c r="AL14" s="462"/>
      <c r="AM14" s="462"/>
      <c r="AN14" s="462"/>
      <c r="AO14" s="462"/>
      <c r="AP14" s="462"/>
      <c r="AQ14" s="462"/>
      <c r="AR14" s="462"/>
      <c r="AS14" s="462"/>
      <c r="AT14" s="462"/>
      <c r="AU14" s="462"/>
      <c r="AV14" s="462"/>
      <c r="AW14" s="462"/>
      <c r="AX14" s="462"/>
      <c r="AY14" s="462"/>
      <c r="AZ14" s="462"/>
      <c r="BA14" s="462"/>
      <c r="BB14" s="462"/>
    </row>
    <row r="15" spans="2:54">
      <c r="B15" s="460" t="s">
        <v>254</v>
      </c>
      <c r="C15" s="165">
        <f>$C$3</f>
        <v>42369</v>
      </c>
      <c r="D15" s="165">
        <f>EOMONTH(C15,3)</f>
        <v>42460</v>
      </c>
      <c r="E15" s="165">
        <f t="shared" ref="E15:S15" si="77">EOMONTH(D15,3)</f>
        <v>42551</v>
      </c>
      <c r="F15" s="165">
        <f t="shared" si="77"/>
        <v>42643</v>
      </c>
      <c r="G15" s="165">
        <f t="shared" si="77"/>
        <v>42735</v>
      </c>
      <c r="H15" s="165">
        <f t="shared" si="77"/>
        <v>42825</v>
      </c>
      <c r="I15" s="165">
        <f t="shared" si="77"/>
        <v>42916</v>
      </c>
      <c r="J15" s="165">
        <f t="shared" si="77"/>
        <v>43008</v>
      </c>
      <c r="K15" s="165">
        <f t="shared" si="77"/>
        <v>43100</v>
      </c>
      <c r="L15" s="165">
        <f t="shared" si="77"/>
        <v>43190</v>
      </c>
      <c r="M15" s="165">
        <f t="shared" si="77"/>
        <v>43281</v>
      </c>
      <c r="N15" s="165">
        <f t="shared" si="77"/>
        <v>43373</v>
      </c>
      <c r="O15" s="165">
        <f t="shared" si="77"/>
        <v>43465</v>
      </c>
      <c r="P15" s="165">
        <f t="shared" si="77"/>
        <v>43555</v>
      </c>
      <c r="Q15" s="165">
        <f t="shared" si="77"/>
        <v>43646</v>
      </c>
      <c r="R15" s="165">
        <f t="shared" si="77"/>
        <v>43738</v>
      </c>
      <c r="S15" s="165">
        <f t="shared" si="77"/>
        <v>43830</v>
      </c>
      <c r="T15" s="165">
        <f t="shared" ref="T15" si="78">EOMONTH(S15,3)</f>
        <v>43921</v>
      </c>
      <c r="U15" s="165">
        <f t="shared" ref="U15" si="79">EOMONTH(T15,3)</f>
        <v>44012</v>
      </c>
      <c r="V15" s="165">
        <f t="shared" ref="V15" si="80">EOMONTH(U15,3)</f>
        <v>44104</v>
      </c>
      <c r="W15" s="165">
        <f t="shared" ref="W15" si="81">EOMONTH(V15,3)</f>
        <v>44196</v>
      </c>
      <c r="X15" s="165">
        <f t="shared" ref="X15" si="82">EOMONTH(W15,3)</f>
        <v>44286</v>
      </c>
      <c r="Y15" s="165">
        <f t="shared" ref="Y15:AA15" si="83">EOMONTH(X15,3)</f>
        <v>44377</v>
      </c>
      <c r="Z15" s="165">
        <f t="shared" ref="Z15:AB15" si="84">EOMONTH(Y15,3)</f>
        <v>44469</v>
      </c>
      <c r="AA15" s="165">
        <f t="shared" si="83"/>
        <v>44561</v>
      </c>
      <c r="AB15" s="165">
        <f t="shared" si="84"/>
        <v>44651</v>
      </c>
      <c r="AC15" s="165">
        <f t="shared" ref="AC15" si="85">EOMONTH(AB15,3)</f>
        <v>44742</v>
      </c>
      <c r="AD15" s="165">
        <f t="shared" ref="AD15" si="86">EOMONTH(AC15,3)</f>
        <v>44834</v>
      </c>
      <c r="AE15" s="165">
        <f t="shared" ref="AE15" si="87">EOMONTH(AD15,3)</f>
        <v>44926</v>
      </c>
      <c r="AF15" s="165">
        <f t="shared" ref="AF15" si="88">EOMONTH(AE15,3)</f>
        <v>45016</v>
      </c>
      <c r="AG15" s="165">
        <f t="shared" ref="AG15" si="89">EOMONTH(AF15,3)</f>
        <v>45107</v>
      </c>
      <c r="AH15" s="165">
        <f t="shared" ref="AH15" si="90">EOMONTH(AG15,3)</f>
        <v>45199</v>
      </c>
      <c r="AI15" s="165">
        <f t="shared" ref="AI15" si="91">EOMONTH(AH15,3)</f>
        <v>45291</v>
      </c>
      <c r="AJ15" s="165">
        <f t="shared" ref="AJ15" si="92">EOMONTH(AI15,3)</f>
        <v>45382</v>
      </c>
      <c r="AK15" s="165">
        <f t="shared" ref="AK15" si="93">EOMONTH(AJ15,3)</f>
        <v>45473</v>
      </c>
      <c r="AL15" s="165">
        <f t="shared" ref="AL15" si="94">EOMONTH(AK15,3)</f>
        <v>45565</v>
      </c>
      <c r="AM15" s="165">
        <f t="shared" ref="AM15" si="95">EOMONTH(AL15,3)</f>
        <v>45657</v>
      </c>
      <c r="AN15" s="165">
        <f t="shared" ref="AN15" si="96">EOMONTH(AM15,3)</f>
        <v>45747</v>
      </c>
      <c r="AO15" s="165">
        <f t="shared" ref="AO15" si="97">EOMONTH(AN15,3)</f>
        <v>45838</v>
      </c>
      <c r="AP15" s="165">
        <f t="shared" ref="AP15" si="98">EOMONTH(AO15,3)</f>
        <v>45930</v>
      </c>
      <c r="AQ15" s="165">
        <f t="shared" ref="AQ15" si="99">EOMONTH(AP15,3)</f>
        <v>46022</v>
      </c>
      <c r="AR15" s="165">
        <f t="shared" ref="AR15" si="100">EOMONTH(AQ15,3)</f>
        <v>46112</v>
      </c>
      <c r="AS15" s="165">
        <f t="shared" ref="AS15" si="101">EOMONTH(AR15,3)</f>
        <v>46203</v>
      </c>
      <c r="AT15" s="165">
        <f t="shared" ref="AT15" si="102">EOMONTH(AS15,3)</f>
        <v>46295</v>
      </c>
      <c r="AU15" s="165">
        <f t="shared" ref="AU15" si="103">EOMONTH(AT15,3)</f>
        <v>46387</v>
      </c>
      <c r="AV15" s="165">
        <f t="shared" ref="AV15" si="104">EOMONTH(AU15,3)</f>
        <v>46477</v>
      </c>
      <c r="AW15" s="165">
        <f t="shared" ref="AW15" si="105">EOMONTH(AV15,3)</f>
        <v>46568</v>
      </c>
      <c r="AX15" s="165">
        <f t="shared" ref="AX15" si="106">EOMONTH(AW15,3)</f>
        <v>46660</v>
      </c>
      <c r="AY15" s="165">
        <f t="shared" ref="AY15" si="107">EOMONTH(AX15,3)</f>
        <v>46752</v>
      </c>
      <c r="AZ15" s="165">
        <f t="shared" ref="AZ15" si="108">EOMONTH(AY15,3)</f>
        <v>46843</v>
      </c>
      <c r="BA15" s="165">
        <f t="shared" ref="BA15" si="109">EOMONTH(AZ15,3)</f>
        <v>46934</v>
      </c>
      <c r="BB15" s="165">
        <f t="shared" ref="BB15" si="110">EOMONTH(BA15,3)</f>
        <v>47026</v>
      </c>
    </row>
    <row r="16" spans="2:54">
      <c r="B16" s="566" t="s">
        <v>255</v>
      </c>
      <c r="C16" s="394">
        <f>'Balance Sheet'!C12</f>
        <v>247389</v>
      </c>
      <c r="D16" s="394">
        <f>'Balance Sheet'!D12</f>
        <v>263489</v>
      </c>
      <c r="E16" s="394">
        <f>'Balance Sheet'!E12</f>
        <v>300932</v>
      </c>
      <c r="F16" s="394">
        <f>'Balance Sheet'!F12</f>
        <v>330555</v>
      </c>
      <c r="G16" s="394">
        <f>'Balance Sheet'!G12</f>
        <v>355201</v>
      </c>
      <c r="H16" s="394">
        <f>'Balance Sheet'!H12</f>
        <v>373240</v>
      </c>
      <c r="I16" s="394">
        <f>'Balance Sheet'!I12</f>
        <v>406361</v>
      </c>
      <c r="J16" s="394">
        <f>'Balance Sheet'!J12</f>
        <v>446654</v>
      </c>
      <c r="K16" s="394">
        <f>'Balance Sheet'!K12</f>
        <v>489846</v>
      </c>
      <c r="L16" s="394">
        <f>'Balance Sheet'!L12</f>
        <v>518910</v>
      </c>
      <c r="M16" s="394">
        <f>'Balance Sheet'!M12</f>
        <v>568682</v>
      </c>
      <c r="N16" s="394">
        <f>'Balance Sheet'!N12</f>
        <v>612419</v>
      </c>
      <c r="O16" s="394">
        <f>'Balance Sheet'!O12</f>
        <v>655943</v>
      </c>
      <c r="P16" s="394">
        <f>'Balance Sheet'!P12</f>
        <v>676926</v>
      </c>
      <c r="Q16" s="394">
        <f>'Balance Sheet'!Q12</f>
        <v>725235</v>
      </c>
      <c r="R16" s="394">
        <f>'Balance Sheet'!R12</f>
        <v>777047</v>
      </c>
      <c r="S16" s="394">
        <f>'Balance Sheet'!S12</f>
        <v>845193</v>
      </c>
      <c r="T16" s="394">
        <f>'Balance Sheet'!T12</f>
        <v>859605</v>
      </c>
      <c r="U16" s="394">
        <f>'Balance Sheet'!U12</f>
        <v>918782</v>
      </c>
      <c r="V16" s="394">
        <f>'Balance Sheet'!V12</f>
        <v>1012670</v>
      </c>
      <c r="W16" s="394">
        <f>'Balance Sheet'!W12</f>
        <v>1139005</v>
      </c>
      <c r="X16" s="394">
        <f>'Balance Sheet'!X12</f>
        <v>1218638</v>
      </c>
      <c r="Y16" s="394">
        <f>'Balance Sheet'!Y12</f>
        <v>1286406</v>
      </c>
      <c r="Z16" s="394">
        <f>'Balance Sheet'!Z12</f>
        <v>1335774</v>
      </c>
      <c r="AA16" s="394">
        <f>'Balance Sheet'!AA12</f>
        <v>1395848</v>
      </c>
      <c r="AB16" s="394">
        <f>'Balance Sheet'!AB12</f>
        <v>1422751</v>
      </c>
      <c r="AC16" s="394">
        <f>'Balance Sheet'!AC12</f>
        <v>1513921</v>
      </c>
      <c r="AD16" s="394">
        <f>'Balance Sheet'!AD12</f>
        <v>1606981</v>
      </c>
      <c r="AE16" s="394">
        <f>'Balance Sheet'!AE12</f>
        <v>1642412</v>
      </c>
      <c r="AF16" s="394">
        <f>'Balance Sheet'!AF12</f>
        <v>1674229</v>
      </c>
      <c r="AG16" s="394">
        <f>'Balance Sheet'!AG12</f>
        <v>1731012</v>
      </c>
      <c r="AH16" s="394">
        <f>'Balance Sheet'!AH12</f>
        <v>1802675</v>
      </c>
      <c r="AI16" s="394">
        <f>'Balance Sheet'!AI12</f>
        <v>1856031</v>
      </c>
      <c r="AJ16" s="394">
        <f>'Balance Sheet'!AJ12</f>
        <v>1869203</v>
      </c>
      <c r="AK16" s="394">
        <f>'Balance Sheet'!AK12</f>
        <v>1923842</v>
      </c>
      <c r="AL16" s="394">
        <f>'Balance Sheet'!AL12</f>
        <v>1996963</v>
      </c>
      <c r="AM16" s="394">
        <f>'Balance Sheet'!AM12</f>
        <v>2037228</v>
      </c>
      <c r="AN16" s="394">
        <f>'Balance Sheet'!AN12</f>
        <v>2042526</v>
      </c>
      <c r="AO16" s="394">
        <f>'Balance Sheet'!AO12</f>
        <v>2057145</v>
      </c>
      <c r="AP16" s="394">
        <f>'Balance Sheet'!AP12</f>
        <v>2079374</v>
      </c>
      <c r="AQ16" s="394">
        <f>'Balance Sheet'!AQ12</f>
        <v>2096289</v>
      </c>
      <c r="AR16" s="394">
        <f>'Balance Sheet'!AR12</f>
        <v>2102414</v>
      </c>
      <c r="AS16" s="394">
        <f>'Balance Sheet'!AS12</f>
        <v>0</v>
      </c>
      <c r="AT16" s="394">
        <f>'Balance Sheet'!AT12</f>
        <v>0</v>
      </c>
      <c r="AU16" s="394">
        <f>'Balance Sheet'!AU12</f>
        <v>0</v>
      </c>
      <c r="AV16" s="394">
        <f>'Balance Sheet'!AV12</f>
        <v>0</v>
      </c>
      <c r="AW16" s="394">
        <f>'Balance Sheet'!AW12</f>
        <v>0</v>
      </c>
      <c r="AX16" s="394">
        <f>'Balance Sheet'!AX12</f>
        <v>0</v>
      </c>
      <c r="AY16" s="394">
        <f>'Balance Sheet'!AY12</f>
        <v>0</v>
      </c>
      <c r="AZ16" s="394">
        <f>'Balance Sheet'!AZ12</f>
        <v>0</v>
      </c>
      <c r="BA16" s="394">
        <f>'Balance Sheet'!BA12</f>
        <v>0</v>
      </c>
      <c r="BB16" s="394">
        <f>'Balance Sheet'!BB12</f>
        <v>0</v>
      </c>
    </row>
    <row r="17" spans="2:54">
      <c r="B17" s="423" t="s">
        <v>256</v>
      </c>
      <c r="C17" s="424">
        <f>'Balance Sheet'!C5</f>
        <v>-12234</v>
      </c>
      <c r="D17" s="424">
        <f>'Balance Sheet'!D5</f>
        <v>-12173</v>
      </c>
      <c r="E17" s="424">
        <f>'Balance Sheet'!E5</f>
        <v>-12111</v>
      </c>
      <c r="F17" s="424">
        <f>'Balance Sheet'!F5</f>
        <v>-12049</v>
      </c>
      <c r="G17" s="424">
        <f>'Balance Sheet'!G5</f>
        <v>-12018</v>
      </c>
      <c r="H17" s="424">
        <f>'Balance Sheet'!H5</f>
        <v>-12018</v>
      </c>
      <c r="I17" s="424">
        <f>'Balance Sheet'!I5</f>
        <v>-12018</v>
      </c>
      <c r="J17" s="424">
        <f>'Balance Sheet'!J5</f>
        <v>-14207</v>
      </c>
      <c r="K17" s="424">
        <f>'Balance Sheet'!K5</f>
        <v>-13946</v>
      </c>
      <c r="L17" s="424">
        <f>'Balance Sheet'!L5</f>
        <v>-12018</v>
      </c>
      <c r="M17" s="424">
        <f>'Balance Sheet'!M5</f>
        <v>-12018</v>
      </c>
      <c r="N17" s="424">
        <f>'Balance Sheet'!N5</f>
        <v>-19979</v>
      </c>
      <c r="O17" s="424">
        <f>'Balance Sheet'!O5</f>
        <v>-14808</v>
      </c>
      <c r="P17" s="424">
        <f>'Balance Sheet'!P5</f>
        <v>-12018</v>
      </c>
      <c r="Q17" s="424">
        <f>'Balance Sheet'!Q5</f>
        <v>-12018</v>
      </c>
      <c r="R17" s="424">
        <f>'Balance Sheet'!R5</f>
        <v>-12018</v>
      </c>
      <c r="S17" s="424">
        <f>'Balance Sheet'!S5</f>
        <v>-12018</v>
      </c>
      <c r="T17" s="424">
        <f>'Balance Sheet'!T5</f>
        <v>-12018</v>
      </c>
      <c r="U17" s="424">
        <f>'Balance Sheet'!U5</f>
        <v>-12018</v>
      </c>
      <c r="V17" s="424">
        <f>'Balance Sheet'!V5</f>
        <v>-12018</v>
      </c>
      <c r="W17" s="424">
        <f>'Balance Sheet'!W5</f>
        <v>-12018</v>
      </c>
      <c r="X17" s="424">
        <f>'Balance Sheet'!X5</f>
        <v>-12018</v>
      </c>
      <c r="Y17" s="424">
        <f>'Balance Sheet'!Y5</f>
        <v>-12018</v>
      </c>
      <c r="Z17" s="424">
        <f>'Balance Sheet'!Z5</f>
        <v>-12018</v>
      </c>
      <c r="AA17" s="424">
        <f>'Balance Sheet'!AA5</f>
        <v>-12018</v>
      </c>
      <c r="AB17" s="424">
        <f>'Balance Sheet'!AB5</f>
        <v>-12018</v>
      </c>
      <c r="AC17" s="424">
        <f>'Balance Sheet'!AC5</f>
        <v>-12018</v>
      </c>
      <c r="AD17" s="424">
        <f>'Balance Sheet'!AD5</f>
        <v>-12018</v>
      </c>
      <c r="AE17" s="424">
        <f>'Balance Sheet'!AE5</f>
        <v>-12018</v>
      </c>
      <c r="AF17" s="424">
        <f>'Balance Sheet'!AF5</f>
        <v>-12018</v>
      </c>
      <c r="AG17" s="424">
        <f>'Balance Sheet'!AG5-AG18</f>
        <v>-12018</v>
      </c>
      <c r="AH17" s="424">
        <f>'Balance Sheet'!AH5-AH18</f>
        <v>-12018</v>
      </c>
      <c r="AI17" s="424">
        <f>'Balance Sheet'!AI5-AI18</f>
        <v>-12018</v>
      </c>
      <c r="AJ17" s="424">
        <f>'Balance Sheet'!AJ5-AJ18</f>
        <v>-12018</v>
      </c>
      <c r="AK17" s="424">
        <f>'Balance Sheet'!AK5-AK18</f>
        <v>-12018</v>
      </c>
      <c r="AL17" s="424">
        <f>'Balance Sheet'!AL5-AL18</f>
        <v>-12018</v>
      </c>
      <c r="AM17" s="424">
        <f>'Balance Sheet'!AM5-AM18</f>
        <v>-12018</v>
      </c>
      <c r="AN17" s="424">
        <v>-12018</v>
      </c>
      <c r="AO17" s="424">
        <f>'Balance Sheet'!AO5-AO18</f>
        <v>-12018</v>
      </c>
      <c r="AP17" s="424">
        <f>'Balance Sheet'!AP5-AP18</f>
        <v>-12018</v>
      </c>
      <c r="AQ17" s="424">
        <f>'Balance Sheet'!AQ5-AQ18</f>
        <v>-12018</v>
      </c>
      <c r="AR17" s="424">
        <f>'Balance Sheet'!AR5</f>
        <v>-20939</v>
      </c>
      <c r="AS17" s="424">
        <f>'Balance Sheet'!AS5</f>
        <v>0</v>
      </c>
      <c r="AT17" s="424">
        <f>'Balance Sheet'!AT5</f>
        <v>0</v>
      </c>
      <c r="AU17" s="424">
        <f>'Balance Sheet'!AU5</f>
        <v>0</v>
      </c>
      <c r="AV17" s="424">
        <f>'Balance Sheet'!AV5</f>
        <v>0</v>
      </c>
      <c r="AW17" s="424">
        <f>'Balance Sheet'!AW5</f>
        <v>0</v>
      </c>
      <c r="AX17" s="424">
        <f>'Balance Sheet'!AX5</f>
        <v>0</v>
      </c>
      <c r="AY17" s="424">
        <f>'Balance Sheet'!AY5</f>
        <v>0</v>
      </c>
      <c r="AZ17" s="424">
        <f>'Balance Sheet'!AZ5</f>
        <v>0</v>
      </c>
      <c r="BA17" s="424">
        <f>'Balance Sheet'!BA5</f>
        <v>0</v>
      </c>
      <c r="BB17" s="424">
        <f>'Balance Sheet'!BB5</f>
        <v>0</v>
      </c>
    </row>
    <row r="18" spans="2:54">
      <c r="B18" s="425" t="s">
        <v>257</v>
      </c>
      <c r="C18" s="199">
        <v>0</v>
      </c>
      <c r="D18" s="199">
        <v>0</v>
      </c>
      <c r="E18" s="199">
        <v>0</v>
      </c>
      <c r="F18" s="199"/>
      <c r="G18" s="199">
        <v>0</v>
      </c>
      <c r="H18" s="199">
        <v>0</v>
      </c>
      <c r="I18" s="199">
        <v>0</v>
      </c>
      <c r="J18" s="199"/>
      <c r="K18" s="199">
        <v>0</v>
      </c>
      <c r="L18" s="107">
        <v>-1142</v>
      </c>
      <c r="M18" s="107">
        <v>-2168</v>
      </c>
      <c r="N18" s="107">
        <v>-3858</v>
      </c>
      <c r="O18" s="107">
        <v>0</v>
      </c>
      <c r="P18" s="107">
        <v>-23773</v>
      </c>
      <c r="Q18" s="107">
        <v>-2015</v>
      </c>
      <c r="R18" s="107">
        <v>-2789</v>
      </c>
      <c r="S18" s="107">
        <v>-4621</v>
      </c>
      <c r="T18" s="107">
        <v>-2301</v>
      </c>
      <c r="U18" s="107">
        <v>-3687</v>
      </c>
      <c r="V18" s="107">
        <v>-3687</v>
      </c>
      <c r="W18" s="107">
        <v>-6986</v>
      </c>
      <c r="X18" s="107">
        <v>-3350</v>
      </c>
      <c r="Y18" s="107">
        <v>-6097</v>
      </c>
      <c r="Z18" s="107">
        <v>-7613</v>
      </c>
      <c r="AA18" s="553">
        <v>-6198</v>
      </c>
      <c r="AB18" s="553">
        <v>2933</v>
      </c>
      <c r="AC18" s="107">
        <v>-5487</v>
      </c>
      <c r="AD18" s="107">
        <v>-7636</v>
      </c>
      <c r="AE18" s="107">
        <v>-6186</v>
      </c>
      <c r="AF18" s="107">
        <v>-5127</v>
      </c>
      <c r="AG18" s="107">
        <v>-7867</v>
      </c>
      <c r="AH18" s="107">
        <v>-9624</v>
      </c>
      <c r="AI18" s="107">
        <f>-(8163)</f>
        <v>-8163</v>
      </c>
      <c r="AJ18" s="107">
        <v>-7269</v>
      </c>
      <c r="AK18" s="107">
        <v>-7043</v>
      </c>
      <c r="AL18" s="107">
        <v>-9146</v>
      </c>
      <c r="AM18" s="107">
        <v>-9271</v>
      </c>
      <c r="AN18" s="107">
        <f>-8154</f>
        <v>-8154</v>
      </c>
      <c r="AO18" s="107">
        <f>-10433</f>
        <v>-10433</v>
      </c>
      <c r="AP18" s="107">
        <v>-9624</v>
      </c>
      <c r="AQ18" s="107">
        <v>-9904</v>
      </c>
      <c r="AR18" s="107">
        <v>-8921</v>
      </c>
      <c r="AS18" s="107"/>
      <c r="AT18" s="107"/>
      <c r="AU18" s="107"/>
      <c r="AV18" s="107"/>
      <c r="AW18" s="107"/>
      <c r="AX18" s="107"/>
      <c r="AY18" s="107"/>
      <c r="AZ18" s="107"/>
      <c r="BA18" s="107"/>
      <c r="BB18" s="107"/>
    </row>
    <row r="19" spans="2:54">
      <c r="B19" s="392" t="s">
        <v>136</v>
      </c>
      <c r="C19" s="421">
        <f>'Balance Sheet'!C10</f>
        <v>0</v>
      </c>
      <c r="D19" s="421">
        <f>'Balance Sheet'!D10</f>
        <v>0</v>
      </c>
      <c r="E19" s="421">
        <f>'Balance Sheet'!E10</f>
        <v>0</v>
      </c>
      <c r="F19" s="421">
        <f>'Balance Sheet'!F10</f>
        <v>0</v>
      </c>
      <c r="G19" s="421">
        <f>'Balance Sheet'!G10</f>
        <v>0</v>
      </c>
      <c r="H19" s="421">
        <f>'Balance Sheet'!H10</f>
        <v>0</v>
      </c>
      <c r="I19" s="421">
        <f>'Balance Sheet'!I10</f>
        <v>0</v>
      </c>
      <c r="J19" s="421">
        <f>'Balance Sheet'!J10</f>
        <v>0</v>
      </c>
      <c r="K19" s="421">
        <f>'Balance Sheet'!K10</f>
        <v>0</v>
      </c>
      <c r="L19" s="421">
        <f>'Balance Sheet'!L10</f>
        <v>0</v>
      </c>
      <c r="M19" s="421">
        <f>'Balance Sheet'!M10</f>
        <v>0</v>
      </c>
      <c r="N19" s="421">
        <f>'Balance Sheet'!N10</f>
        <v>0</v>
      </c>
      <c r="O19" s="421">
        <f>'Balance Sheet'!O10</f>
        <v>0</v>
      </c>
      <c r="P19" s="421">
        <f>'Balance Sheet'!P10</f>
        <v>0</v>
      </c>
      <c r="Q19" s="421">
        <f>'Balance Sheet'!Q10</f>
        <v>0</v>
      </c>
      <c r="R19" s="421">
        <f>'Balance Sheet'!R10</f>
        <v>0</v>
      </c>
      <c r="S19" s="421">
        <f>'Balance Sheet'!S10</f>
        <v>0</v>
      </c>
      <c r="T19" s="421">
        <f>'Balance Sheet'!T10</f>
        <v>0</v>
      </c>
      <c r="U19" s="421">
        <f>'Balance Sheet'!U10</f>
        <v>0</v>
      </c>
      <c r="V19" s="421">
        <f>'Balance Sheet'!V10</f>
        <v>0</v>
      </c>
      <c r="W19" s="421">
        <f>'Balance Sheet'!W10</f>
        <v>0</v>
      </c>
      <c r="X19" s="421">
        <f>'Balance Sheet'!X10</f>
        <v>0</v>
      </c>
      <c r="Y19" s="421">
        <f>'Balance Sheet'!Y10</f>
        <v>0</v>
      </c>
      <c r="Z19" s="421">
        <f>'Balance Sheet'!Z10</f>
        <v>0</v>
      </c>
      <c r="AA19" s="421">
        <f>'Balance Sheet'!AA10</f>
        <v>0</v>
      </c>
      <c r="AB19" s="421">
        <f>'Balance Sheet'!AB10</f>
        <v>0</v>
      </c>
      <c r="AC19" s="421">
        <f>'Balance Sheet'!AC10</f>
        <v>0</v>
      </c>
      <c r="AD19" s="421">
        <f>'Balance Sheet'!AD10</f>
        <v>0</v>
      </c>
      <c r="AE19" s="421">
        <f>'Balance Sheet'!AE10</f>
        <v>0</v>
      </c>
      <c r="AF19" s="421">
        <f>'Balance Sheet'!AF10</f>
        <v>0</v>
      </c>
      <c r="AG19" s="421">
        <f>'Balance Sheet'!AG10</f>
        <v>0</v>
      </c>
      <c r="AH19" s="421">
        <f>'Balance Sheet'!AH10</f>
        <v>0</v>
      </c>
      <c r="AI19" s="421">
        <f>'Balance Sheet'!AI10</f>
        <v>0</v>
      </c>
      <c r="AJ19" s="421">
        <f>'Balance Sheet'!AJ10</f>
        <v>0</v>
      </c>
      <c r="AK19" s="421">
        <f>'Balance Sheet'!AK10</f>
        <v>0</v>
      </c>
      <c r="AL19" s="421">
        <f>'Balance Sheet'!AL10</f>
        <v>0</v>
      </c>
      <c r="AM19" s="421">
        <f>'Balance Sheet'!AM10</f>
        <v>0</v>
      </c>
      <c r="AN19" s="421">
        <v>0</v>
      </c>
      <c r="AO19" s="421">
        <f>'Balance Sheet'!AO10</f>
        <v>0</v>
      </c>
      <c r="AP19" s="421">
        <f>'Balance Sheet'!AP10</f>
        <v>0</v>
      </c>
      <c r="AQ19" s="421">
        <f>'Balance Sheet'!AQ10</f>
        <v>0</v>
      </c>
      <c r="AR19" s="421">
        <f>'Balance Sheet'!AR10</f>
        <v>0</v>
      </c>
      <c r="AS19" s="421">
        <f>'Balance Sheet'!AS10</f>
        <v>0</v>
      </c>
      <c r="AT19" s="421">
        <f>'Balance Sheet'!AT10</f>
        <v>0</v>
      </c>
      <c r="AU19" s="421">
        <f>'Balance Sheet'!AU10</f>
        <v>0</v>
      </c>
      <c r="AV19" s="421">
        <f>'Balance Sheet'!AV10</f>
        <v>0</v>
      </c>
      <c r="AW19" s="421">
        <f>'Balance Sheet'!AW10</f>
        <v>0</v>
      </c>
      <c r="AX19" s="421">
        <f>'Balance Sheet'!AX10</f>
        <v>0</v>
      </c>
      <c r="AY19" s="421">
        <f>'Balance Sheet'!AY10</f>
        <v>0</v>
      </c>
      <c r="AZ19" s="421">
        <f>'Balance Sheet'!AZ10</f>
        <v>0</v>
      </c>
      <c r="BA19" s="421">
        <f>'Balance Sheet'!BA10</f>
        <v>0</v>
      </c>
      <c r="BB19" s="421">
        <f>'Balance Sheet'!BB10</f>
        <v>0</v>
      </c>
    </row>
    <row r="20" spans="2:54" s="519" customFormat="1">
      <c r="B20" s="590" t="s">
        <v>258</v>
      </c>
      <c r="C20" s="591"/>
      <c r="D20" s="591"/>
      <c r="E20" s="591"/>
      <c r="F20" s="591"/>
      <c r="G20" s="591"/>
      <c r="H20" s="591"/>
      <c r="I20" s="591"/>
      <c r="J20" s="591"/>
      <c r="K20" s="591"/>
      <c r="L20" s="591"/>
      <c r="M20" s="591"/>
      <c r="N20" s="591"/>
      <c r="O20" s="591"/>
      <c r="P20" s="591"/>
      <c r="Q20" s="591"/>
      <c r="R20" s="591"/>
      <c r="S20" s="591"/>
      <c r="T20" s="591"/>
      <c r="U20" s="591"/>
      <c r="V20" s="591"/>
      <c r="W20" s="591"/>
      <c r="X20" s="591"/>
      <c r="Y20" s="591"/>
      <c r="Z20" s="591"/>
      <c r="AA20" s="591"/>
      <c r="AB20" s="591">
        <v>26857.504540000002</v>
      </c>
      <c r="AC20" s="591">
        <v>11113.75403</v>
      </c>
      <c r="AD20" s="591">
        <v>34763.726000000002</v>
      </c>
      <c r="AE20" s="591">
        <v>27060</v>
      </c>
      <c r="AF20" s="602">
        <v>30700</v>
      </c>
      <c r="AG20" s="591">
        <v>4251</v>
      </c>
      <c r="AH20" s="591">
        <v>6562</v>
      </c>
      <c r="AI20" s="591">
        <v>7195</v>
      </c>
      <c r="AJ20" s="591">
        <f>10256+108140</f>
        <v>118396</v>
      </c>
      <c r="AK20" s="591">
        <v>12288</v>
      </c>
      <c r="AL20" s="591">
        <v>14061</v>
      </c>
      <c r="AM20" s="591">
        <v>15246</v>
      </c>
      <c r="AN20" s="591">
        <v>17423</v>
      </c>
      <c r="AO20" s="591">
        <v>4014</v>
      </c>
      <c r="AP20" s="591">
        <v>5277</v>
      </c>
      <c r="AQ20" s="591">
        <v>5074</v>
      </c>
      <c r="AR20" s="591">
        <v>7055</v>
      </c>
      <c r="AS20" s="591"/>
      <c r="AT20" s="591"/>
      <c r="AU20" s="591"/>
      <c r="AV20" s="591"/>
      <c r="AW20" s="591"/>
      <c r="AX20" s="591"/>
      <c r="AY20" s="591"/>
      <c r="AZ20" s="591"/>
      <c r="BA20" s="591"/>
      <c r="BB20" s="591"/>
    </row>
    <row r="21" spans="2:54">
      <c r="B21" s="402" t="s">
        <v>259</v>
      </c>
      <c r="C21" s="166">
        <f t="shared" ref="C21:AP21" si="111">SUM(C16:C19)</f>
        <v>235155</v>
      </c>
      <c r="D21" s="166">
        <f t="shared" si="111"/>
        <v>251316</v>
      </c>
      <c r="E21" s="166">
        <f t="shared" si="111"/>
        <v>288821</v>
      </c>
      <c r="F21" s="166">
        <f t="shared" si="111"/>
        <v>318506</v>
      </c>
      <c r="G21" s="166">
        <f t="shared" si="111"/>
        <v>343183</v>
      </c>
      <c r="H21" s="166">
        <f t="shared" si="111"/>
        <v>361222</v>
      </c>
      <c r="I21" s="166">
        <f t="shared" si="111"/>
        <v>394343</v>
      </c>
      <c r="J21" s="166">
        <f t="shared" si="111"/>
        <v>432447</v>
      </c>
      <c r="K21" s="166">
        <f t="shared" si="111"/>
        <v>475900</v>
      </c>
      <c r="L21" s="166">
        <f t="shared" si="111"/>
        <v>505750</v>
      </c>
      <c r="M21" s="166">
        <f t="shared" si="111"/>
        <v>554496</v>
      </c>
      <c r="N21" s="166">
        <f t="shared" si="111"/>
        <v>588582</v>
      </c>
      <c r="O21" s="166">
        <f t="shared" si="111"/>
        <v>641135</v>
      </c>
      <c r="P21" s="166">
        <f t="shared" si="111"/>
        <v>641135</v>
      </c>
      <c r="Q21" s="166">
        <f t="shared" si="111"/>
        <v>711202</v>
      </c>
      <c r="R21" s="166">
        <f t="shared" si="111"/>
        <v>762240</v>
      </c>
      <c r="S21" s="166">
        <f t="shared" si="111"/>
        <v>828554</v>
      </c>
      <c r="T21" s="166">
        <f t="shared" si="111"/>
        <v>845286</v>
      </c>
      <c r="U21" s="166">
        <f t="shared" si="111"/>
        <v>903077</v>
      </c>
      <c r="V21" s="166">
        <f t="shared" si="111"/>
        <v>996965</v>
      </c>
      <c r="W21" s="166">
        <f t="shared" si="111"/>
        <v>1120001</v>
      </c>
      <c r="X21" s="166">
        <f t="shared" si="111"/>
        <v>1203270</v>
      </c>
      <c r="Y21" s="166">
        <f t="shared" si="111"/>
        <v>1268291</v>
      </c>
      <c r="Z21" s="166">
        <f t="shared" si="111"/>
        <v>1316143</v>
      </c>
      <c r="AA21" s="166">
        <f t="shared" si="111"/>
        <v>1377632</v>
      </c>
      <c r="AB21" s="166">
        <f t="shared" si="111"/>
        <v>1413666</v>
      </c>
      <c r="AC21" s="166">
        <f t="shared" si="111"/>
        <v>1496416</v>
      </c>
      <c r="AD21" s="166">
        <f t="shared" si="111"/>
        <v>1587327</v>
      </c>
      <c r="AE21" s="166">
        <f t="shared" si="111"/>
        <v>1624208</v>
      </c>
      <c r="AF21" s="166">
        <f t="shared" si="111"/>
        <v>1657084</v>
      </c>
      <c r="AG21" s="166">
        <f t="shared" si="111"/>
        <v>1711127</v>
      </c>
      <c r="AH21" s="166">
        <f t="shared" si="111"/>
        <v>1781033</v>
      </c>
      <c r="AI21" s="166">
        <f t="shared" si="111"/>
        <v>1835850</v>
      </c>
      <c r="AJ21" s="166">
        <f>SUM(AJ16:AJ19)</f>
        <v>1849916</v>
      </c>
      <c r="AK21" s="166">
        <f t="shared" si="111"/>
        <v>1904781</v>
      </c>
      <c r="AL21" s="166">
        <f t="shared" si="111"/>
        <v>1975799</v>
      </c>
      <c r="AM21" s="166">
        <f t="shared" si="111"/>
        <v>2015939</v>
      </c>
      <c r="AN21" s="166">
        <f t="shared" si="111"/>
        <v>2022354</v>
      </c>
      <c r="AO21" s="166">
        <f t="shared" si="111"/>
        <v>2034694</v>
      </c>
      <c r="AP21" s="166">
        <f t="shared" si="111"/>
        <v>2057732</v>
      </c>
      <c r="AQ21" s="166">
        <f t="shared" ref="AQ21:BB21" si="112">SUM(AQ16:AQ19)</f>
        <v>2074367</v>
      </c>
      <c r="AR21" s="166">
        <f t="shared" si="112"/>
        <v>2072554</v>
      </c>
      <c r="AS21" s="166">
        <f t="shared" si="112"/>
        <v>0</v>
      </c>
      <c r="AT21" s="166">
        <f t="shared" si="112"/>
        <v>0</v>
      </c>
      <c r="AU21" s="166">
        <f t="shared" si="112"/>
        <v>0</v>
      </c>
      <c r="AV21" s="166">
        <f t="shared" si="112"/>
        <v>0</v>
      </c>
      <c r="AW21" s="166">
        <f t="shared" si="112"/>
        <v>0</v>
      </c>
      <c r="AX21" s="166">
        <f t="shared" si="112"/>
        <v>0</v>
      </c>
      <c r="AY21" s="166">
        <f t="shared" si="112"/>
        <v>0</v>
      </c>
      <c r="AZ21" s="166">
        <f t="shared" si="112"/>
        <v>0</v>
      </c>
      <c r="BA21" s="166">
        <f t="shared" si="112"/>
        <v>0</v>
      </c>
      <c r="BB21" s="166">
        <f t="shared" si="112"/>
        <v>0</v>
      </c>
    </row>
    <row r="22" spans="2:54">
      <c r="B22" s="167" t="s">
        <v>260</v>
      </c>
      <c r="C22" s="391">
        <v>235155</v>
      </c>
      <c r="D22" s="391">
        <v>251316</v>
      </c>
      <c r="E22" s="391">
        <v>288821</v>
      </c>
      <c r="F22" s="391">
        <v>318506</v>
      </c>
      <c r="G22" s="391">
        <v>343183</v>
      </c>
      <c r="H22" s="168">
        <v>361222</v>
      </c>
      <c r="I22" s="168">
        <v>394343</v>
      </c>
      <c r="J22" s="168">
        <v>432447</v>
      </c>
      <c r="K22" s="168">
        <v>475900</v>
      </c>
      <c r="L22" s="168">
        <v>505750</v>
      </c>
      <c r="M22" s="168">
        <v>554496</v>
      </c>
      <c r="N22" s="168">
        <v>588582</v>
      </c>
      <c r="O22" s="168">
        <v>641135</v>
      </c>
      <c r="P22" s="168">
        <v>641135</v>
      </c>
      <c r="Q22" s="200">
        <v>711202</v>
      </c>
      <c r="R22" s="200">
        <v>762240</v>
      </c>
      <c r="S22" s="200">
        <v>762240</v>
      </c>
      <c r="T22" s="200">
        <v>845286</v>
      </c>
      <c r="U22" s="200">
        <v>903077</v>
      </c>
      <c r="V22" s="200">
        <v>996965</v>
      </c>
      <c r="W22" s="200">
        <v>1120001</v>
      </c>
      <c r="X22" s="200">
        <v>1203370</v>
      </c>
      <c r="Y22" s="200">
        <v>1268291</v>
      </c>
      <c r="Z22" s="200">
        <v>1316143</v>
      </c>
      <c r="AA22" s="200">
        <v>1363995</v>
      </c>
      <c r="AB22" s="200">
        <v>1413666</v>
      </c>
      <c r="AC22" s="200">
        <v>1496416</v>
      </c>
      <c r="AD22" s="200">
        <v>1587327</v>
      </c>
      <c r="AE22" s="200">
        <v>1624208</v>
      </c>
      <c r="AF22" s="200">
        <v>1272287</v>
      </c>
      <c r="AG22" s="200">
        <v>1711127</v>
      </c>
      <c r="AH22" s="200">
        <v>1781033</v>
      </c>
      <c r="AI22" s="200">
        <v>1835850</v>
      </c>
      <c r="AJ22" s="200">
        <v>1849916</v>
      </c>
      <c r="AK22" s="200">
        <v>1913781</v>
      </c>
      <c r="AL22" s="200">
        <v>1975799</v>
      </c>
      <c r="AM22" s="200">
        <v>2015939</v>
      </c>
      <c r="AN22" s="200">
        <v>1435225</v>
      </c>
      <c r="AO22" s="200">
        <v>2034634</v>
      </c>
      <c r="AP22" s="200">
        <v>2057732</v>
      </c>
      <c r="AQ22" s="200">
        <v>2081075</v>
      </c>
      <c r="AR22" s="200">
        <v>2081475</v>
      </c>
      <c r="AS22" s="200"/>
      <c r="AT22" s="200"/>
      <c r="AU22" s="200"/>
      <c r="AV22" s="200"/>
      <c r="AW22" s="200"/>
      <c r="AX22" s="200"/>
      <c r="AY22" s="200"/>
      <c r="AZ22" s="200"/>
      <c r="BA22" s="200"/>
      <c r="BB22" s="200"/>
    </row>
    <row r="23" spans="2:54">
      <c r="B23" s="105" t="s">
        <v>129</v>
      </c>
      <c r="C23" s="616">
        <v>202301</v>
      </c>
      <c r="D23" s="616">
        <v>211451</v>
      </c>
      <c r="E23" s="169">
        <v>234733</v>
      </c>
      <c r="F23" s="169">
        <v>252106</v>
      </c>
      <c r="G23" s="169">
        <v>264789</v>
      </c>
      <c r="H23" s="169">
        <v>275373</v>
      </c>
      <c r="I23" s="169">
        <v>327376</v>
      </c>
      <c r="J23" s="169">
        <v>349173</v>
      </c>
      <c r="K23" s="169">
        <v>372657</v>
      </c>
      <c r="L23" s="169">
        <v>387630</v>
      </c>
      <c r="M23" s="169">
        <v>440399</v>
      </c>
      <c r="N23" s="169">
        <v>440399</v>
      </c>
      <c r="O23" s="169">
        <v>440399</v>
      </c>
      <c r="P23" s="169">
        <v>440399</v>
      </c>
      <c r="Q23" s="169">
        <v>522753</v>
      </c>
      <c r="R23" s="169">
        <v>549274</v>
      </c>
      <c r="S23" s="169">
        <v>584166</v>
      </c>
      <c r="T23" s="169">
        <v>607766</v>
      </c>
      <c r="U23" s="169">
        <v>607766</v>
      </c>
      <c r="V23" s="169">
        <v>607766</v>
      </c>
      <c r="W23" s="169">
        <v>800446</v>
      </c>
      <c r="X23" s="169">
        <v>854627</v>
      </c>
      <c r="Y23" s="169">
        <v>854628</v>
      </c>
      <c r="Z23" s="169">
        <v>850000</v>
      </c>
      <c r="AA23" s="169">
        <v>845372</v>
      </c>
      <c r="AB23" s="169">
        <f>850000+((INDEX('Income Stmt'!$B$13:$AS$20,MATCH('Income Stmt'!$B$19,'Income Stmt'!$B$13:$B$20,0),MATCH(Covenants!AB15,'Income Stmt'!$B$13:$AS$13,0))+INDEX('Income Stmt'!$B$13:$AS$20,MATCH('Income Stmt'!$B$19,'Income Stmt'!$B$13:$B$20,0),MATCH(DATE(YEAR(AB15)-1,12,31),'Income Stmt'!$B$13:$AS$13,0)))*0.5)+(AB20*0.75)</f>
        <v>1124308.6284050001</v>
      </c>
      <c r="AC23" s="169">
        <f>850000+((INDEX('Income Stmt'!$B$13:$AS$20,MATCH('Income Stmt'!$B$19,'Income Stmt'!$B$13:$B$20,0),MATCH(Covenants!AC15,'Income Stmt'!$B$13:$AS$13,0))+INDEX('Income Stmt'!$B$13:$AS$20,MATCH('Income Stmt'!$B$19,'Income Stmt'!$B$13:$B$20,0),MATCH(DATE(YEAR(AC15)-1,12,31),'Income Stmt'!$B$13:$AS$13,0)))*0.5)+(AC20*0.75)</f>
        <v>1174188.8155225001</v>
      </c>
      <c r="AD23" s="169">
        <f>850000+((INDEX('Income Stmt'!$B$13:$AS$20,MATCH('Income Stmt'!$B$19,'Income Stmt'!$B$13:$B$20,0),MATCH(Covenants!AD15,'Income Stmt'!$B$13:$AS$13,0))+INDEX('Income Stmt'!$B$13:$AS$20,MATCH('Income Stmt'!$B$19,'Income Stmt'!$B$13:$B$20,0),MATCH(DATE(YEAR(AD15)-1,12,31),'Income Stmt'!$B$13:$AS$13,0)))*0.5)+(AD20*0.75)</f>
        <v>1237121.2945000001</v>
      </c>
      <c r="AE23" s="169">
        <f>850000+((INDEX('Income Stmt'!$B$13:$AS$20,MATCH('Income Stmt'!$B$19,'Income Stmt'!$B$13:$B$20,0),MATCH(Covenants!AE15,'Income Stmt'!$B$13:$AS$13,0))+INDEX('Income Stmt'!$B$13:$AS$20,MATCH('Income Stmt'!$B$19,'Income Stmt'!$B$13:$B$20,0),MATCH(DATE(YEAR(AE15)-1,12,31),'Income Stmt'!$B$13:$AS$13,0)))*0.5)+(AE20*0.75)</f>
        <v>1248401</v>
      </c>
      <c r="AF23" s="169">
        <f>1218156+((INDEX('Income Stmt'!$B$13:$AS$20,MATCH('Income Stmt'!$B$19,'Income Stmt'!$B$13:$B$20,0),MATCH(Covenants!AF15,'Income Stmt'!$B$13:$AS$13,0))+INDEX('Income Stmt'!$B$13:$AS$20,MATCH('Income Stmt'!$B$19,'Income Stmt'!$B$13:$B$20,0),MATCH(DATE(YEAR(AF15)-1,12,31),'Income Stmt'!$B$13:$AS$13,0)))*0.5)+(AF20*0.8)</f>
        <v>1419480.5</v>
      </c>
      <c r="AG23" s="169">
        <f>1218156+4251+40048</f>
        <v>1262455</v>
      </c>
      <c r="AH23" s="169">
        <f>1218156+6562+73563</f>
        <v>1298281</v>
      </c>
      <c r="AI23" s="169">
        <f>1218156+7195+99614</f>
        <v>1324965</v>
      </c>
      <c r="AJ23" s="169">
        <f>1218156+10256+108140</f>
        <v>1336552</v>
      </c>
      <c r="AK23" s="169">
        <f>1218156+12288+137427</f>
        <v>1367871</v>
      </c>
      <c r="AL23" s="169">
        <f>1218156+14061+172214</f>
        <v>1404431</v>
      </c>
      <c r="AM23" s="645">
        <f>1218156+AM20+197649</f>
        <v>1431051</v>
      </c>
      <c r="AN23" s="645">
        <f>1218156+AN20+199646</f>
        <v>1435225</v>
      </c>
      <c r="AO23" s="645">
        <f>1218156+AO20+17764</f>
        <v>1239934</v>
      </c>
      <c r="AP23" s="645">
        <f>1512000+AP20+27616</f>
        <v>1544893</v>
      </c>
      <c r="AQ23" s="645">
        <f>1512000+AQ20+38314</f>
        <v>1555388</v>
      </c>
      <c r="AR23" s="169">
        <v>1556411</v>
      </c>
      <c r="AS23" s="169"/>
      <c r="AT23" s="169"/>
      <c r="AU23" s="169"/>
      <c r="AV23" s="169"/>
      <c r="AW23" s="169"/>
      <c r="AX23" s="169"/>
      <c r="AY23" s="169"/>
      <c r="AZ23" s="169"/>
      <c r="BA23" s="169"/>
      <c r="BB23" s="169"/>
    </row>
    <row r="24" spans="2:54" ht="14.5">
      <c r="B24" s="106" t="s">
        <v>131</v>
      </c>
      <c r="C24" s="170">
        <f t="shared" ref="C24:AP24" si="113">C21-C23</f>
        <v>32854</v>
      </c>
      <c r="D24" s="170">
        <f t="shared" si="113"/>
        <v>39865</v>
      </c>
      <c r="E24" s="170">
        <f t="shared" si="113"/>
        <v>54088</v>
      </c>
      <c r="F24" s="170">
        <f t="shared" si="113"/>
        <v>66400</v>
      </c>
      <c r="G24" s="170">
        <f t="shared" si="113"/>
        <v>78394</v>
      </c>
      <c r="H24" s="170">
        <f t="shared" si="113"/>
        <v>85849</v>
      </c>
      <c r="I24" s="170">
        <f t="shared" si="113"/>
        <v>66967</v>
      </c>
      <c r="J24" s="170">
        <f t="shared" si="113"/>
        <v>83274</v>
      </c>
      <c r="K24" s="170">
        <f t="shared" si="113"/>
        <v>103243</v>
      </c>
      <c r="L24" s="170">
        <f t="shared" si="113"/>
        <v>118120</v>
      </c>
      <c r="M24" s="170">
        <f t="shared" si="113"/>
        <v>114097</v>
      </c>
      <c r="N24" s="170">
        <f t="shared" si="113"/>
        <v>148183</v>
      </c>
      <c r="O24" s="170">
        <f t="shared" si="113"/>
        <v>200736</v>
      </c>
      <c r="P24" s="170">
        <f t="shared" si="113"/>
        <v>200736</v>
      </c>
      <c r="Q24" s="170">
        <f t="shared" si="113"/>
        <v>188449</v>
      </c>
      <c r="R24" s="170">
        <f t="shared" si="113"/>
        <v>212966</v>
      </c>
      <c r="S24" s="170">
        <f t="shared" si="113"/>
        <v>244388</v>
      </c>
      <c r="T24" s="170">
        <f t="shared" si="113"/>
        <v>237520</v>
      </c>
      <c r="U24" s="170">
        <f t="shared" si="113"/>
        <v>295311</v>
      </c>
      <c r="V24" s="170">
        <f t="shared" si="113"/>
        <v>389199</v>
      </c>
      <c r="W24" s="170">
        <f t="shared" si="113"/>
        <v>319555</v>
      </c>
      <c r="X24" s="170">
        <f t="shared" si="113"/>
        <v>348643</v>
      </c>
      <c r="Y24" s="170">
        <f t="shared" si="113"/>
        <v>413663</v>
      </c>
      <c r="Z24" s="170">
        <f t="shared" si="113"/>
        <v>466143</v>
      </c>
      <c r="AA24" s="170">
        <f t="shared" si="113"/>
        <v>532260</v>
      </c>
      <c r="AB24" s="170">
        <f t="shared" si="113"/>
        <v>289357.37159499992</v>
      </c>
      <c r="AC24" s="170">
        <f t="shared" si="113"/>
        <v>322227.18447749992</v>
      </c>
      <c r="AD24" s="170">
        <f t="shared" si="113"/>
        <v>350205.70549999992</v>
      </c>
      <c r="AE24" s="170">
        <f t="shared" si="113"/>
        <v>375807</v>
      </c>
      <c r="AF24" s="170">
        <f t="shared" si="113"/>
        <v>237603.5</v>
      </c>
      <c r="AG24" s="170">
        <f t="shared" si="113"/>
        <v>448672</v>
      </c>
      <c r="AH24" s="170">
        <f t="shared" si="113"/>
        <v>482752</v>
      </c>
      <c r="AI24" s="170">
        <f t="shared" si="113"/>
        <v>510885</v>
      </c>
      <c r="AJ24" s="170">
        <f t="shared" si="113"/>
        <v>513364</v>
      </c>
      <c r="AK24" s="170">
        <f t="shared" si="113"/>
        <v>536910</v>
      </c>
      <c r="AL24" s="170">
        <f t="shared" si="113"/>
        <v>571368</v>
      </c>
      <c r="AM24" s="170">
        <f t="shared" si="113"/>
        <v>584888</v>
      </c>
      <c r="AN24" s="170">
        <f t="shared" si="113"/>
        <v>587129</v>
      </c>
      <c r="AO24" s="170">
        <f t="shared" si="113"/>
        <v>794760</v>
      </c>
      <c r="AP24" s="170">
        <f t="shared" si="113"/>
        <v>512839</v>
      </c>
      <c r="AQ24" s="170">
        <f t="shared" ref="AQ24:BB24" si="114">AQ21-AQ23</f>
        <v>518979</v>
      </c>
      <c r="AR24" s="170">
        <f t="shared" si="114"/>
        <v>516143</v>
      </c>
      <c r="AS24" s="170">
        <f t="shared" si="114"/>
        <v>0</v>
      </c>
      <c r="AT24" s="170">
        <f t="shared" si="114"/>
        <v>0</v>
      </c>
      <c r="AU24" s="170">
        <f t="shared" si="114"/>
        <v>0</v>
      </c>
      <c r="AV24" s="170">
        <f t="shared" si="114"/>
        <v>0</v>
      </c>
      <c r="AW24" s="170">
        <f t="shared" si="114"/>
        <v>0</v>
      </c>
      <c r="AX24" s="170">
        <f t="shared" si="114"/>
        <v>0</v>
      </c>
      <c r="AY24" s="170">
        <f t="shared" si="114"/>
        <v>0</v>
      </c>
      <c r="AZ24" s="170">
        <f t="shared" si="114"/>
        <v>0</v>
      </c>
      <c r="BA24" s="170">
        <f t="shared" si="114"/>
        <v>0</v>
      </c>
      <c r="BB24" s="170">
        <f t="shared" si="114"/>
        <v>0</v>
      </c>
    </row>
    <row r="25" spans="2:54" ht="14.5">
      <c r="B25" s="106" t="s">
        <v>132</v>
      </c>
      <c r="C25" s="469">
        <f t="shared" ref="C25:F25" si="115">C24/C23</f>
        <v>0.16240156993786486</v>
      </c>
      <c r="D25" s="469">
        <f t="shared" si="115"/>
        <v>0.18853067613773403</v>
      </c>
      <c r="E25" s="469">
        <f t="shared" si="115"/>
        <v>0.2304235024474616</v>
      </c>
      <c r="F25" s="469">
        <f t="shared" si="115"/>
        <v>0.26338127612988188</v>
      </c>
      <c r="G25" s="469">
        <f>G24/G23</f>
        <v>0.29606214759676575</v>
      </c>
      <c r="H25" s="469">
        <f t="shared" ref="H25:K25" si="116">H24/H23</f>
        <v>0.31175532822753138</v>
      </c>
      <c r="I25" s="469">
        <f t="shared" si="116"/>
        <v>0.20455683984164996</v>
      </c>
      <c r="J25" s="469">
        <f t="shared" si="116"/>
        <v>0.23848923026694505</v>
      </c>
      <c r="K25" s="469">
        <f t="shared" si="116"/>
        <v>0.27704564787458708</v>
      </c>
      <c r="L25" s="469">
        <f t="shared" ref="L25:M25" si="117">L24/L23</f>
        <v>0.3047235766065578</v>
      </c>
      <c r="M25" s="469">
        <f t="shared" si="117"/>
        <v>0.25907642842059131</v>
      </c>
      <c r="N25" s="469">
        <f t="shared" ref="N25:O25" si="118">N24/N23</f>
        <v>0.33647442432884728</v>
      </c>
      <c r="O25" s="469">
        <f t="shared" si="118"/>
        <v>0.45580484969311919</v>
      </c>
      <c r="P25" s="469">
        <f t="shared" ref="P25:Q25" si="119">P24/P23</f>
        <v>0.45580484969311919</v>
      </c>
      <c r="Q25" s="469">
        <f t="shared" si="119"/>
        <v>0.36049338789064816</v>
      </c>
      <c r="R25" s="469">
        <f t="shared" ref="R25:S25" si="120">R24/R23</f>
        <v>0.3877227030589469</v>
      </c>
      <c r="S25" s="469">
        <f t="shared" si="120"/>
        <v>0.41835368713687549</v>
      </c>
      <c r="T25" s="469">
        <f t="shared" ref="T25" si="121">T24/T23</f>
        <v>0.39080830451193388</v>
      </c>
      <c r="U25" s="469">
        <f t="shared" ref="U25:V25" si="122">U24/U23</f>
        <v>0.48589588756198931</v>
      </c>
      <c r="V25" s="469">
        <f t="shared" si="122"/>
        <v>0.64037639486249642</v>
      </c>
      <c r="W25" s="469">
        <f t="shared" ref="W25:X25" si="123">W24/W23</f>
        <v>0.39922118418981417</v>
      </c>
      <c r="X25" s="469">
        <f t="shared" si="123"/>
        <v>0.40794756074872429</v>
      </c>
      <c r="Y25" s="469">
        <f t="shared" ref="Y25:Z25" si="124">Y24/Y23</f>
        <v>0.48402696845879145</v>
      </c>
      <c r="Z25" s="469">
        <f t="shared" si="124"/>
        <v>0.54840352941176473</v>
      </c>
      <c r="AA25" s="469">
        <f t="shared" ref="AA25:AB25" si="125">AA24/AA23</f>
        <v>0.62961631092584092</v>
      </c>
      <c r="AB25" s="469">
        <f t="shared" si="125"/>
        <v>0.2573647166663629</v>
      </c>
      <c r="AC25" s="469">
        <f t="shared" ref="AC25:AE25" si="126">AC24/AC23</f>
        <v>0.27442535665280771</v>
      </c>
      <c r="AD25" s="469">
        <f t="shared" si="126"/>
        <v>0.28308113930052464</v>
      </c>
      <c r="AE25" s="469">
        <f t="shared" si="126"/>
        <v>0.30103067844386538</v>
      </c>
      <c r="AF25" s="469">
        <f t="shared" ref="AF25:AP25" si="127">AF24/AF23</f>
        <v>0.16738764639598783</v>
      </c>
      <c r="AG25" s="469">
        <f t="shared" si="127"/>
        <v>0.35539642997176135</v>
      </c>
      <c r="AH25" s="469">
        <f t="shared" si="127"/>
        <v>0.3718393783780245</v>
      </c>
      <c r="AI25" s="469">
        <f t="shared" si="127"/>
        <v>0.38558377013732437</v>
      </c>
      <c r="AJ25" s="469">
        <f t="shared" si="127"/>
        <v>0.3840957927562863</v>
      </c>
      <c r="AK25" s="469">
        <f t="shared" si="127"/>
        <v>0.39251508365920473</v>
      </c>
      <c r="AL25" s="469">
        <f t="shared" si="127"/>
        <v>0.40683237553144297</v>
      </c>
      <c r="AM25" s="469">
        <f t="shared" si="127"/>
        <v>0.40871219823751914</v>
      </c>
      <c r="AN25" s="469">
        <f t="shared" si="127"/>
        <v>0.40908498667456322</v>
      </c>
      <c r="AO25" s="469">
        <f t="shared" si="127"/>
        <v>0.64096959999483849</v>
      </c>
      <c r="AP25" s="469">
        <f t="shared" si="127"/>
        <v>0.33195761777676513</v>
      </c>
      <c r="AQ25" s="469">
        <f t="shared" ref="AQ25:BB25" si="128">AQ24/AQ23</f>
        <v>0.33366529766206243</v>
      </c>
      <c r="AR25" s="469">
        <f t="shared" si="128"/>
        <v>0.33162384485845964</v>
      </c>
      <c r="AS25" s="469" t="e">
        <f t="shared" si="128"/>
        <v>#DIV/0!</v>
      </c>
      <c r="AT25" s="469" t="e">
        <f t="shared" si="128"/>
        <v>#DIV/0!</v>
      </c>
      <c r="AU25" s="469" t="e">
        <f t="shared" si="128"/>
        <v>#DIV/0!</v>
      </c>
      <c r="AV25" s="469" t="e">
        <f t="shared" si="128"/>
        <v>#DIV/0!</v>
      </c>
      <c r="AW25" s="469" t="e">
        <f t="shared" si="128"/>
        <v>#DIV/0!</v>
      </c>
      <c r="AX25" s="469" t="e">
        <f t="shared" si="128"/>
        <v>#DIV/0!</v>
      </c>
      <c r="AY25" s="469" t="e">
        <f t="shared" si="128"/>
        <v>#DIV/0!</v>
      </c>
      <c r="AZ25" s="469" t="e">
        <f t="shared" si="128"/>
        <v>#DIV/0!</v>
      </c>
      <c r="BA25" s="469" t="e">
        <f t="shared" si="128"/>
        <v>#DIV/0!</v>
      </c>
      <c r="BB25" s="469" t="e">
        <f t="shared" si="128"/>
        <v>#DIV/0!</v>
      </c>
    </row>
    <row r="26" spans="2:54">
      <c r="B26" s="525" t="s">
        <v>130</v>
      </c>
      <c r="C26" s="526" t="str">
        <f t="shared" ref="C26:AP26" si="129">IF(C21&gt;=C23,"Compliant","Violation")</f>
        <v>Compliant</v>
      </c>
      <c r="D26" s="526" t="str">
        <f t="shared" si="129"/>
        <v>Compliant</v>
      </c>
      <c r="E26" s="526" t="str">
        <f t="shared" si="129"/>
        <v>Compliant</v>
      </c>
      <c r="F26" s="526" t="str">
        <f t="shared" si="129"/>
        <v>Compliant</v>
      </c>
      <c r="G26" s="526" t="str">
        <f t="shared" si="129"/>
        <v>Compliant</v>
      </c>
      <c r="H26" s="526" t="str">
        <f t="shared" si="129"/>
        <v>Compliant</v>
      </c>
      <c r="I26" s="526" t="str">
        <f t="shared" si="129"/>
        <v>Compliant</v>
      </c>
      <c r="J26" s="526" t="str">
        <f t="shared" si="129"/>
        <v>Compliant</v>
      </c>
      <c r="K26" s="526" t="str">
        <f t="shared" si="129"/>
        <v>Compliant</v>
      </c>
      <c r="L26" s="526" t="str">
        <f t="shared" si="129"/>
        <v>Compliant</v>
      </c>
      <c r="M26" s="526" t="str">
        <f t="shared" si="129"/>
        <v>Compliant</v>
      </c>
      <c r="N26" s="526" t="str">
        <f t="shared" si="129"/>
        <v>Compliant</v>
      </c>
      <c r="O26" s="526" t="str">
        <f t="shared" si="129"/>
        <v>Compliant</v>
      </c>
      <c r="P26" s="526" t="str">
        <f t="shared" si="129"/>
        <v>Compliant</v>
      </c>
      <c r="Q26" s="526" t="str">
        <f t="shared" si="129"/>
        <v>Compliant</v>
      </c>
      <c r="R26" s="526" t="str">
        <f t="shared" si="129"/>
        <v>Compliant</v>
      </c>
      <c r="S26" s="526" t="str">
        <f t="shared" si="129"/>
        <v>Compliant</v>
      </c>
      <c r="T26" s="526" t="str">
        <f t="shared" si="129"/>
        <v>Compliant</v>
      </c>
      <c r="U26" s="526" t="str">
        <f t="shared" si="129"/>
        <v>Compliant</v>
      </c>
      <c r="V26" s="526" t="str">
        <f t="shared" si="129"/>
        <v>Compliant</v>
      </c>
      <c r="W26" s="526" t="str">
        <f t="shared" si="129"/>
        <v>Compliant</v>
      </c>
      <c r="X26" s="526" t="str">
        <f t="shared" si="129"/>
        <v>Compliant</v>
      </c>
      <c r="Y26" s="526" t="str">
        <f t="shared" si="129"/>
        <v>Compliant</v>
      </c>
      <c r="Z26" s="526" t="str">
        <f t="shared" si="129"/>
        <v>Compliant</v>
      </c>
      <c r="AA26" s="526" t="str">
        <f t="shared" si="129"/>
        <v>Compliant</v>
      </c>
      <c r="AB26" s="526" t="str">
        <f t="shared" si="129"/>
        <v>Compliant</v>
      </c>
      <c r="AC26" s="526" t="str">
        <f t="shared" si="129"/>
        <v>Compliant</v>
      </c>
      <c r="AD26" s="526" t="str">
        <f t="shared" si="129"/>
        <v>Compliant</v>
      </c>
      <c r="AE26" s="526" t="str">
        <f t="shared" si="129"/>
        <v>Compliant</v>
      </c>
      <c r="AF26" s="526" t="str">
        <f t="shared" si="129"/>
        <v>Compliant</v>
      </c>
      <c r="AG26" s="526" t="str">
        <f t="shared" si="129"/>
        <v>Compliant</v>
      </c>
      <c r="AH26" s="526" t="str">
        <f t="shared" si="129"/>
        <v>Compliant</v>
      </c>
      <c r="AI26" s="526" t="str">
        <f t="shared" si="129"/>
        <v>Compliant</v>
      </c>
      <c r="AJ26" s="526" t="str">
        <f t="shared" si="129"/>
        <v>Compliant</v>
      </c>
      <c r="AK26" s="526" t="str">
        <f t="shared" si="129"/>
        <v>Compliant</v>
      </c>
      <c r="AL26" s="526" t="str">
        <f t="shared" si="129"/>
        <v>Compliant</v>
      </c>
      <c r="AM26" s="526" t="str">
        <f t="shared" si="129"/>
        <v>Compliant</v>
      </c>
      <c r="AN26" s="526" t="str">
        <f t="shared" si="129"/>
        <v>Compliant</v>
      </c>
      <c r="AO26" s="526" t="str">
        <f t="shared" si="129"/>
        <v>Compliant</v>
      </c>
      <c r="AP26" s="526" t="str">
        <f t="shared" si="129"/>
        <v>Compliant</v>
      </c>
      <c r="AQ26" s="526" t="str">
        <f t="shared" ref="AQ26:BB26" si="130">IF(AQ21&gt;=AQ23,"Compliant","Violation")</f>
        <v>Compliant</v>
      </c>
      <c r="AR26" s="526" t="str">
        <f t="shared" si="130"/>
        <v>Compliant</v>
      </c>
      <c r="AS26" s="526" t="str">
        <f t="shared" si="130"/>
        <v>Compliant</v>
      </c>
      <c r="AT26" s="526" t="str">
        <f t="shared" si="130"/>
        <v>Compliant</v>
      </c>
      <c r="AU26" s="526" t="str">
        <f t="shared" si="130"/>
        <v>Compliant</v>
      </c>
      <c r="AV26" s="526" t="str">
        <f t="shared" si="130"/>
        <v>Compliant</v>
      </c>
      <c r="AW26" s="526" t="str">
        <f t="shared" si="130"/>
        <v>Compliant</v>
      </c>
      <c r="AX26" s="526" t="str">
        <f t="shared" si="130"/>
        <v>Compliant</v>
      </c>
      <c r="AY26" s="526" t="str">
        <f t="shared" si="130"/>
        <v>Compliant</v>
      </c>
      <c r="AZ26" s="526" t="str">
        <f t="shared" si="130"/>
        <v>Compliant</v>
      </c>
      <c r="BA26" s="526" t="str">
        <f t="shared" si="130"/>
        <v>Compliant</v>
      </c>
      <c r="BB26" s="526" t="str">
        <f t="shared" si="130"/>
        <v>Compliant</v>
      </c>
    </row>
    <row r="27" spans="2:54">
      <c r="B27" s="567"/>
      <c r="C27" s="567"/>
      <c r="D27" s="567"/>
      <c r="E27" s="567"/>
      <c r="F27" s="567"/>
      <c r="G27" s="567"/>
      <c r="H27" s="567"/>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7"/>
      <c r="AO27" s="567"/>
      <c r="AP27" s="567"/>
      <c r="AQ27" s="567"/>
      <c r="AR27" s="567"/>
      <c r="AS27" s="567"/>
      <c r="AT27" s="567"/>
      <c r="AU27" s="567"/>
      <c r="AV27" s="567"/>
      <c r="AW27" s="567"/>
      <c r="AX27" s="567"/>
      <c r="AY27" s="567"/>
      <c r="AZ27" s="567"/>
      <c r="BA27" s="567"/>
      <c r="BB27" s="567"/>
    </row>
    <row r="28" spans="2:54">
      <c r="B28" s="164" t="s">
        <v>261</v>
      </c>
      <c r="C28" s="165">
        <f>$C$3</f>
        <v>42369</v>
      </c>
      <c r="D28" s="165">
        <f>EOMONTH(C28,3)</f>
        <v>42460</v>
      </c>
      <c r="E28" s="165">
        <f t="shared" ref="E28:S28" si="131">EOMONTH(D28,3)</f>
        <v>42551</v>
      </c>
      <c r="F28" s="165">
        <f t="shared" si="131"/>
        <v>42643</v>
      </c>
      <c r="G28" s="165">
        <f t="shared" si="131"/>
        <v>42735</v>
      </c>
      <c r="H28" s="165">
        <f t="shared" si="131"/>
        <v>42825</v>
      </c>
      <c r="I28" s="165">
        <f t="shared" si="131"/>
        <v>42916</v>
      </c>
      <c r="J28" s="165">
        <f t="shared" si="131"/>
        <v>43008</v>
      </c>
      <c r="K28" s="165">
        <f t="shared" si="131"/>
        <v>43100</v>
      </c>
      <c r="L28" s="165">
        <f t="shared" si="131"/>
        <v>43190</v>
      </c>
      <c r="M28" s="165">
        <f t="shared" ref="M28:R28" si="132">EOMONTH(L28,3)</f>
        <v>43281</v>
      </c>
      <c r="N28" s="165">
        <f t="shared" si="132"/>
        <v>43373</v>
      </c>
      <c r="O28" s="165">
        <f t="shared" si="132"/>
        <v>43465</v>
      </c>
      <c r="P28" s="165">
        <f t="shared" si="132"/>
        <v>43555</v>
      </c>
      <c r="Q28" s="165">
        <f t="shared" si="132"/>
        <v>43646</v>
      </c>
      <c r="R28" s="165">
        <f t="shared" si="132"/>
        <v>43738</v>
      </c>
      <c r="S28" s="165">
        <f t="shared" si="131"/>
        <v>43830</v>
      </c>
      <c r="T28" s="165">
        <f t="shared" ref="T28" si="133">EOMONTH(S28,3)</f>
        <v>43921</v>
      </c>
      <c r="U28" s="165">
        <f t="shared" ref="U28" si="134">EOMONTH(T28,3)</f>
        <v>44012</v>
      </c>
      <c r="V28" s="165">
        <f t="shared" ref="V28" si="135">EOMONTH(U28,3)</f>
        <v>44104</v>
      </c>
      <c r="W28" s="165">
        <f t="shared" ref="W28" si="136">EOMONTH(V28,3)</f>
        <v>44196</v>
      </c>
      <c r="X28" s="165">
        <f t="shared" ref="X28" si="137">EOMONTH(W28,3)</f>
        <v>44286</v>
      </c>
      <c r="Y28" s="165">
        <f t="shared" ref="Y28:AA28" si="138">EOMONTH(X28,3)</f>
        <v>44377</v>
      </c>
      <c r="Z28" s="165">
        <f t="shared" ref="Z28:AB28" si="139">EOMONTH(Y28,3)</f>
        <v>44469</v>
      </c>
      <c r="AA28" s="165">
        <f t="shared" si="138"/>
        <v>44561</v>
      </c>
      <c r="AB28" s="165">
        <f t="shared" si="139"/>
        <v>44651</v>
      </c>
      <c r="AC28" s="165">
        <f t="shared" ref="AC28" si="140">EOMONTH(AB28,3)</f>
        <v>44742</v>
      </c>
      <c r="AD28" s="165">
        <f t="shared" ref="AD28" si="141">EOMONTH(AC28,3)</f>
        <v>44834</v>
      </c>
      <c r="AE28" s="165">
        <f t="shared" ref="AE28" si="142">EOMONTH(AD28,3)</f>
        <v>44926</v>
      </c>
      <c r="AF28" s="165">
        <f t="shared" ref="AF28" si="143">EOMONTH(AE28,3)</f>
        <v>45016</v>
      </c>
      <c r="AG28" s="165">
        <f t="shared" ref="AG28" si="144">EOMONTH(AF28,3)</f>
        <v>45107</v>
      </c>
      <c r="AH28" s="165">
        <f t="shared" ref="AH28" si="145">EOMONTH(AG28,3)</f>
        <v>45199</v>
      </c>
      <c r="AI28" s="165">
        <f t="shared" ref="AI28" si="146">EOMONTH(AH28,3)</f>
        <v>45291</v>
      </c>
      <c r="AJ28" s="165">
        <f t="shared" ref="AJ28" si="147">EOMONTH(AI28,3)</f>
        <v>45382</v>
      </c>
      <c r="AK28" s="165">
        <f t="shared" ref="AK28" si="148">EOMONTH(AJ28,3)</f>
        <v>45473</v>
      </c>
      <c r="AL28" s="165">
        <f t="shared" ref="AL28" si="149">EOMONTH(AK28,3)</f>
        <v>45565</v>
      </c>
      <c r="AM28" s="165">
        <f t="shared" ref="AM28" si="150">EOMONTH(AL28,3)</f>
        <v>45657</v>
      </c>
      <c r="AN28" s="165">
        <f t="shared" ref="AN28" si="151">EOMONTH(AM28,3)</f>
        <v>45747</v>
      </c>
      <c r="AO28" s="165">
        <f t="shared" ref="AO28" si="152">EOMONTH(AN28,3)</f>
        <v>45838</v>
      </c>
      <c r="AP28" s="165">
        <f t="shared" ref="AP28" si="153">EOMONTH(AO28,3)</f>
        <v>45930</v>
      </c>
      <c r="AQ28" s="165">
        <f t="shared" ref="AQ28" si="154">EOMONTH(AP28,3)</f>
        <v>46022</v>
      </c>
      <c r="AR28" s="165">
        <f t="shared" ref="AR28" si="155">EOMONTH(AQ28,3)</f>
        <v>46112</v>
      </c>
      <c r="AS28" s="165">
        <f t="shared" ref="AS28" si="156">EOMONTH(AR28,3)</f>
        <v>46203</v>
      </c>
      <c r="AT28" s="165">
        <f t="shared" ref="AT28" si="157">EOMONTH(AS28,3)</f>
        <v>46295</v>
      </c>
      <c r="AU28" s="165">
        <f t="shared" ref="AU28" si="158">EOMONTH(AT28,3)</f>
        <v>46387</v>
      </c>
      <c r="AV28" s="165">
        <f t="shared" ref="AV28" si="159">EOMONTH(AU28,3)</f>
        <v>46477</v>
      </c>
      <c r="AW28" s="165">
        <f t="shared" ref="AW28" si="160">EOMONTH(AV28,3)</f>
        <v>46568</v>
      </c>
      <c r="AX28" s="165">
        <f t="shared" ref="AX28" si="161">EOMONTH(AW28,3)</f>
        <v>46660</v>
      </c>
      <c r="AY28" s="165">
        <f t="shared" ref="AY28" si="162">EOMONTH(AX28,3)</f>
        <v>46752</v>
      </c>
      <c r="AZ28" s="165">
        <f t="shared" ref="AZ28" si="163">EOMONTH(AY28,3)</f>
        <v>46843</v>
      </c>
      <c r="BA28" s="165">
        <f t="shared" ref="BA28" si="164">EOMONTH(AZ28,3)</f>
        <v>46934</v>
      </c>
      <c r="BB28" s="165">
        <f t="shared" ref="BB28" si="165">EOMONTH(BA28,3)</f>
        <v>47026</v>
      </c>
    </row>
    <row r="29" spans="2:54" s="519" customFormat="1">
      <c r="B29" s="198" t="s">
        <v>262</v>
      </c>
      <c r="C29" s="169">
        <f>'Balance Sheet'!C11</f>
        <v>374944</v>
      </c>
      <c r="D29" s="169">
        <f>'Balance Sheet'!D11</f>
        <v>389568</v>
      </c>
      <c r="E29" s="169">
        <f>'Balance Sheet'!E11</f>
        <v>406516</v>
      </c>
      <c r="F29" s="169">
        <f>'Balance Sheet'!F11</f>
        <v>438057</v>
      </c>
      <c r="G29" s="169">
        <f>'Balance Sheet'!G11</f>
        <v>459313</v>
      </c>
      <c r="H29" s="169">
        <f>'Balance Sheet'!H11</f>
        <v>494386</v>
      </c>
      <c r="I29" s="169">
        <f>'Balance Sheet'!I11</f>
        <v>525319</v>
      </c>
      <c r="J29" s="169">
        <f>'Balance Sheet'!J11</f>
        <v>576278</v>
      </c>
      <c r="K29" s="169">
        <f>'Balance Sheet'!K11</f>
        <v>590046</v>
      </c>
      <c r="L29" s="169">
        <v>571718</v>
      </c>
      <c r="M29" s="169">
        <v>571718</v>
      </c>
      <c r="N29" s="169">
        <v>627695</v>
      </c>
      <c r="O29" s="169">
        <v>653734</v>
      </c>
      <c r="P29" s="169">
        <v>653734</v>
      </c>
      <c r="Q29" s="169">
        <v>653735</v>
      </c>
      <c r="R29" s="169">
        <v>653735</v>
      </c>
      <c r="S29" s="169">
        <v>690559</v>
      </c>
      <c r="T29" s="169">
        <v>690560</v>
      </c>
      <c r="U29" s="169">
        <v>587981</v>
      </c>
      <c r="V29" s="169">
        <v>587981</v>
      </c>
      <c r="W29" s="169">
        <v>587981</v>
      </c>
      <c r="X29" s="169">
        <v>413948</v>
      </c>
      <c r="Y29" s="169">
        <v>583656</v>
      </c>
      <c r="Z29" s="169">
        <v>666094</v>
      </c>
      <c r="AA29" s="169">
        <v>748532</v>
      </c>
      <c r="AB29" s="169">
        <v>1003596</v>
      </c>
      <c r="AC29" s="169">
        <v>1155463</v>
      </c>
      <c r="AD29" s="169">
        <v>1230101</v>
      </c>
      <c r="AE29" s="169">
        <v>1117001</v>
      </c>
      <c r="AF29" s="169">
        <v>1045837</v>
      </c>
      <c r="AG29" s="169">
        <v>1053397</v>
      </c>
      <c r="AH29" s="169">
        <v>1190366</v>
      </c>
      <c r="AI29" s="169">
        <v>1248332</v>
      </c>
      <c r="AJ29" s="169">
        <v>1383220</v>
      </c>
      <c r="AK29" s="169">
        <v>1501365</v>
      </c>
      <c r="AL29" s="169">
        <v>1546459</v>
      </c>
      <c r="AM29" s="169">
        <v>1480718</v>
      </c>
      <c r="AN29" s="169">
        <v>1624597</v>
      </c>
      <c r="AO29" s="169">
        <v>1740830</v>
      </c>
      <c r="AP29" s="169">
        <v>1751427</v>
      </c>
      <c r="AQ29" s="169">
        <v>1656803</v>
      </c>
      <c r="AR29" s="169">
        <v>1709457</v>
      </c>
      <c r="AS29" s="169"/>
      <c r="AT29" s="169"/>
      <c r="AU29" s="169"/>
      <c r="AV29" s="169"/>
      <c r="AW29" s="169"/>
      <c r="AX29" s="169"/>
      <c r="AY29" s="169"/>
      <c r="AZ29" s="169"/>
      <c r="BA29" s="169"/>
      <c r="BB29" s="169"/>
    </row>
    <row r="30" spans="2:54">
      <c r="B30" s="566" t="s">
        <v>263</v>
      </c>
      <c r="C30" s="617">
        <f t="shared" ref="C30:AP30" si="166">C21</f>
        <v>235155</v>
      </c>
      <c r="D30" s="617">
        <f t="shared" si="166"/>
        <v>251316</v>
      </c>
      <c r="E30" s="617">
        <f t="shared" si="166"/>
        <v>288821</v>
      </c>
      <c r="F30" s="617">
        <f t="shared" si="166"/>
        <v>318506</v>
      </c>
      <c r="G30" s="617">
        <f t="shared" si="166"/>
        <v>343183</v>
      </c>
      <c r="H30" s="617">
        <f t="shared" si="166"/>
        <v>361222</v>
      </c>
      <c r="I30" s="617">
        <f t="shared" si="166"/>
        <v>394343</v>
      </c>
      <c r="J30" s="617">
        <f t="shared" si="166"/>
        <v>432447</v>
      </c>
      <c r="K30" s="617">
        <f t="shared" si="166"/>
        <v>475900</v>
      </c>
      <c r="L30" s="617">
        <f t="shared" si="166"/>
        <v>505750</v>
      </c>
      <c r="M30" s="617">
        <f t="shared" si="166"/>
        <v>554496</v>
      </c>
      <c r="N30" s="617">
        <f t="shared" si="166"/>
        <v>588582</v>
      </c>
      <c r="O30" s="617">
        <f t="shared" si="166"/>
        <v>641135</v>
      </c>
      <c r="P30" s="617">
        <f t="shared" si="166"/>
        <v>641135</v>
      </c>
      <c r="Q30" s="617">
        <f t="shared" si="166"/>
        <v>711202</v>
      </c>
      <c r="R30" s="617">
        <f t="shared" si="166"/>
        <v>762240</v>
      </c>
      <c r="S30" s="617">
        <f t="shared" si="166"/>
        <v>828554</v>
      </c>
      <c r="T30" s="617">
        <f t="shared" si="166"/>
        <v>845286</v>
      </c>
      <c r="U30" s="617">
        <f t="shared" si="166"/>
        <v>903077</v>
      </c>
      <c r="V30" s="617">
        <f t="shared" si="166"/>
        <v>996965</v>
      </c>
      <c r="W30" s="617">
        <f t="shared" si="166"/>
        <v>1120001</v>
      </c>
      <c r="X30" s="617">
        <f t="shared" si="166"/>
        <v>1203270</v>
      </c>
      <c r="Y30" s="617">
        <f t="shared" si="166"/>
        <v>1268291</v>
      </c>
      <c r="Z30" s="617">
        <f t="shared" si="166"/>
        <v>1316143</v>
      </c>
      <c r="AA30" s="617">
        <f t="shared" si="166"/>
        <v>1377632</v>
      </c>
      <c r="AB30" s="617">
        <f t="shared" si="166"/>
        <v>1413666</v>
      </c>
      <c r="AC30" s="617">
        <f t="shared" si="166"/>
        <v>1496416</v>
      </c>
      <c r="AD30" s="617">
        <f t="shared" si="166"/>
        <v>1587327</v>
      </c>
      <c r="AE30" s="617">
        <f t="shared" si="166"/>
        <v>1624208</v>
      </c>
      <c r="AF30" s="617">
        <f t="shared" si="166"/>
        <v>1657084</v>
      </c>
      <c r="AG30" s="617">
        <f t="shared" si="166"/>
        <v>1711127</v>
      </c>
      <c r="AH30" s="617">
        <f t="shared" si="166"/>
        <v>1781033</v>
      </c>
      <c r="AI30" s="617">
        <f t="shared" si="166"/>
        <v>1835850</v>
      </c>
      <c r="AJ30" s="617">
        <f t="shared" si="166"/>
        <v>1849916</v>
      </c>
      <c r="AK30" s="617">
        <f t="shared" si="166"/>
        <v>1904781</v>
      </c>
      <c r="AL30" s="617">
        <f t="shared" si="166"/>
        <v>1975799</v>
      </c>
      <c r="AM30" s="617">
        <f t="shared" si="166"/>
        <v>2015939</v>
      </c>
      <c r="AN30" s="617">
        <f t="shared" si="166"/>
        <v>2022354</v>
      </c>
      <c r="AO30" s="617">
        <f t="shared" si="166"/>
        <v>2034694</v>
      </c>
      <c r="AP30" s="617">
        <f t="shared" si="166"/>
        <v>2057732</v>
      </c>
      <c r="AQ30" s="617">
        <f t="shared" ref="AQ30:BB30" si="167">AQ21</f>
        <v>2074367</v>
      </c>
      <c r="AR30" s="617">
        <f t="shared" si="167"/>
        <v>2072554</v>
      </c>
      <c r="AS30" s="617">
        <f t="shared" si="167"/>
        <v>0</v>
      </c>
      <c r="AT30" s="617">
        <f t="shared" si="167"/>
        <v>0</v>
      </c>
      <c r="AU30" s="617">
        <f t="shared" si="167"/>
        <v>0</v>
      </c>
      <c r="AV30" s="617">
        <f t="shared" si="167"/>
        <v>0</v>
      </c>
      <c r="AW30" s="617">
        <f t="shared" si="167"/>
        <v>0</v>
      </c>
      <c r="AX30" s="617">
        <f t="shared" si="167"/>
        <v>0</v>
      </c>
      <c r="AY30" s="617">
        <f t="shared" si="167"/>
        <v>0</v>
      </c>
      <c r="AZ30" s="617">
        <f t="shared" si="167"/>
        <v>0</v>
      </c>
      <c r="BA30" s="617">
        <f t="shared" si="167"/>
        <v>0</v>
      </c>
      <c r="BB30" s="617">
        <f t="shared" si="167"/>
        <v>0</v>
      </c>
    </row>
    <row r="31" spans="2:54">
      <c r="B31" s="538" t="s">
        <v>264</v>
      </c>
      <c r="C31" s="618">
        <f t="shared" ref="C31:K31" si="168">C29+C30</f>
        <v>610099</v>
      </c>
      <c r="D31" s="618">
        <f t="shared" si="168"/>
        <v>640884</v>
      </c>
      <c r="E31" s="618">
        <f t="shared" si="168"/>
        <v>695337</v>
      </c>
      <c r="F31" s="618">
        <f t="shared" si="168"/>
        <v>756563</v>
      </c>
      <c r="G31" s="618">
        <f t="shared" si="168"/>
        <v>802496</v>
      </c>
      <c r="H31" s="618">
        <f t="shared" si="168"/>
        <v>855608</v>
      </c>
      <c r="I31" s="618">
        <f t="shared" si="168"/>
        <v>919662</v>
      </c>
      <c r="J31" s="618">
        <f t="shared" si="168"/>
        <v>1008725</v>
      </c>
      <c r="K31" s="618">
        <f t="shared" si="168"/>
        <v>1065946</v>
      </c>
      <c r="L31" s="618">
        <f t="shared" ref="L31:Q31" si="169">L29+L30</f>
        <v>1077468</v>
      </c>
      <c r="M31" s="618">
        <f t="shared" si="169"/>
        <v>1126214</v>
      </c>
      <c r="N31" s="618">
        <f t="shared" si="169"/>
        <v>1216277</v>
      </c>
      <c r="O31" s="618">
        <f t="shared" si="169"/>
        <v>1294869</v>
      </c>
      <c r="P31" s="618">
        <f t="shared" si="169"/>
        <v>1294869</v>
      </c>
      <c r="Q31" s="618">
        <f t="shared" si="169"/>
        <v>1364937</v>
      </c>
      <c r="R31" s="618">
        <f t="shared" ref="R31:S31" si="170">R29+R30</f>
        <v>1415975</v>
      </c>
      <c r="S31" s="618">
        <f t="shared" si="170"/>
        <v>1519113</v>
      </c>
      <c r="T31" s="618">
        <f t="shared" ref="T31:U31" si="171">T29+T30</f>
        <v>1535846</v>
      </c>
      <c r="U31" s="618">
        <f t="shared" si="171"/>
        <v>1491058</v>
      </c>
      <c r="V31" s="618">
        <f t="shared" ref="V31:W31" si="172">V29+V30</f>
        <v>1584946</v>
      </c>
      <c r="W31" s="618">
        <f t="shared" si="172"/>
        <v>1707982</v>
      </c>
      <c r="X31" s="618">
        <f t="shared" ref="X31:Y31" si="173">X29+X30</f>
        <v>1617218</v>
      </c>
      <c r="Y31" s="618">
        <f t="shared" si="173"/>
        <v>1851947</v>
      </c>
      <c r="Z31" s="618">
        <f t="shared" ref="Z31:AA31" si="174">Z29+Z30</f>
        <v>1982237</v>
      </c>
      <c r="AA31" s="618">
        <f t="shared" si="174"/>
        <v>2126164</v>
      </c>
      <c r="AB31" s="618">
        <f t="shared" ref="AB31:AC31" si="175">AB29+AB30</f>
        <v>2417262</v>
      </c>
      <c r="AC31" s="618">
        <f t="shared" si="175"/>
        <v>2651879</v>
      </c>
      <c r="AD31" s="618">
        <f t="shared" ref="AD31:AE31" si="176">AD29+AD30</f>
        <v>2817428</v>
      </c>
      <c r="AE31" s="618">
        <f t="shared" si="176"/>
        <v>2741209</v>
      </c>
      <c r="AF31" s="618">
        <f t="shared" ref="AF31:AP31" si="177">AF29+AF30</f>
        <v>2702921</v>
      </c>
      <c r="AG31" s="618">
        <f t="shared" si="177"/>
        <v>2764524</v>
      </c>
      <c r="AH31" s="618">
        <f t="shared" si="177"/>
        <v>2971399</v>
      </c>
      <c r="AI31" s="618">
        <f t="shared" si="177"/>
        <v>3084182</v>
      </c>
      <c r="AJ31" s="618">
        <f t="shared" si="177"/>
        <v>3233136</v>
      </c>
      <c r="AK31" s="618">
        <f t="shared" si="177"/>
        <v>3406146</v>
      </c>
      <c r="AL31" s="618">
        <f t="shared" si="177"/>
        <v>3522258</v>
      </c>
      <c r="AM31" s="618">
        <f t="shared" si="177"/>
        <v>3496657</v>
      </c>
      <c r="AN31" s="618">
        <f t="shared" si="177"/>
        <v>3646951</v>
      </c>
      <c r="AO31" s="618">
        <f t="shared" si="177"/>
        <v>3775524</v>
      </c>
      <c r="AP31" s="618">
        <f t="shared" si="177"/>
        <v>3809159</v>
      </c>
      <c r="AQ31" s="618">
        <f t="shared" ref="AQ31:BB31" si="178">AQ29+AQ30</f>
        <v>3731170</v>
      </c>
      <c r="AR31" s="618">
        <f t="shared" si="178"/>
        <v>3782011</v>
      </c>
      <c r="AS31" s="618">
        <f t="shared" si="178"/>
        <v>0</v>
      </c>
      <c r="AT31" s="618">
        <f t="shared" si="178"/>
        <v>0</v>
      </c>
      <c r="AU31" s="618">
        <f t="shared" si="178"/>
        <v>0</v>
      </c>
      <c r="AV31" s="618">
        <f t="shared" si="178"/>
        <v>0</v>
      </c>
      <c r="AW31" s="618">
        <f t="shared" si="178"/>
        <v>0</v>
      </c>
      <c r="AX31" s="618">
        <f t="shared" si="178"/>
        <v>0</v>
      </c>
      <c r="AY31" s="618">
        <f t="shared" si="178"/>
        <v>0</v>
      </c>
      <c r="AZ31" s="618">
        <f t="shared" si="178"/>
        <v>0</v>
      </c>
      <c r="BA31" s="618">
        <f t="shared" si="178"/>
        <v>0</v>
      </c>
      <c r="BB31" s="618">
        <f t="shared" si="178"/>
        <v>0</v>
      </c>
    </row>
    <row r="32" spans="2:54">
      <c r="B32" s="589" t="s">
        <v>265</v>
      </c>
      <c r="C32" s="539">
        <f t="shared" ref="C32:K32" si="179">C29/C31</f>
        <v>0.6145625546017941</v>
      </c>
      <c r="D32" s="539">
        <f t="shared" si="179"/>
        <v>0.60786039283240023</v>
      </c>
      <c r="E32" s="539">
        <f t="shared" si="179"/>
        <v>0.58463162466545004</v>
      </c>
      <c r="F32" s="539">
        <f t="shared" si="179"/>
        <v>0.57900928276957764</v>
      </c>
      <c r="G32" s="539">
        <f t="shared" si="179"/>
        <v>0.5723555008373874</v>
      </c>
      <c r="H32" s="539">
        <f t="shared" si="179"/>
        <v>0.57781834671952581</v>
      </c>
      <c r="I32" s="539">
        <f t="shared" si="179"/>
        <v>0.57120877017860905</v>
      </c>
      <c r="J32" s="539">
        <f t="shared" si="179"/>
        <v>0.5712934645220451</v>
      </c>
      <c r="K32" s="539">
        <f t="shared" si="179"/>
        <v>0.55354211188934521</v>
      </c>
      <c r="L32" s="539">
        <f t="shared" ref="L32:Q32" si="180">L29/L31</f>
        <v>0.53061251006990462</v>
      </c>
      <c r="M32" s="539">
        <f t="shared" si="180"/>
        <v>0.50764597136956213</v>
      </c>
      <c r="N32" s="539">
        <f t="shared" si="180"/>
        <v>0.51607898529693486</v>
      </c>
      <c r="O32" s="539">
        <f t="shared" si="180"/>
        <v>0.50486497089666982</v>
      </c>
      <c r="P32" s="539">
        <f t="shared" si="180"/>
        <v>0.50486497089666982</v>
      </c>
      <c r="Q32" s="539">
        <f t="shared" si="180"/>
        <v>0.47894884525805953</v>
      </c>
      <c r="R32" s="539">
        <f t="shared" ref="R32:S32" si="181">R29/R31</f>
        <v>0.46168541111248435</v>
      </c>
      <c r="S32" s="539">
        <f t="shared" si="181"/>
        <v>0.45458040316948112</v>
      </c>
      <c r="T32" s="539">
        <f t="shared" ref="T32:U32" si="182">T29/T31</f>
        <v>0.44962841326539249</v>
      </c>
      <c r="U32" s="539">
        <f t="shared" si="182"/>
        <v>0.39433811427858606</v>
      </c>
      <c r="V32" s="539">
        <f t="shared" ref="V32:W32" si="183">V29/V31</f>
        <v>0.37097856961688286</v>
      </c>
      <c r="W32" s="539">
        <f t="shared" si="183"/>
        <v>0.34425479893816213</v>
      </c>
      <c r="X32" s="539">
        <f t="shared" ref="X32:Y32" si="184">X29/X31</f>
        <v>0.25596301797283977</v>
      </c>
      <c r="Y32" s="539">
        <f t="shared" si="184"/>
        <v>0.31515804717953594</v>
      </c>
      <c r="Z32" s="539">
        <f t="shared" ref="Z32:AA32" si="185">Z29/Z31</f>
        <v>0.33603146344256513</v>
      </c>
      <c r="AA32" s="539">
        <f t="shared" si="185"/>
        <v>0.35205750826370874</v>
      </c>
      <c r="AB32" s="539">
        <f t="shared" ref="AB32:AC32" si="186">AB29/AB31</f>
        <v>0.41517882629189556</v>
      </c>
      <c r="AC32" s="539">
        <f t="shared" si="186"/>
        <v>0.4357148271093817</v>
      </c>
      <c r="AD32" s="539">
        <f t="shared" ref="AD32:AE32" si="187">AD29/AD31</f>
        <v>0.43660423620408401</v>
      </c>
      <c r="AE32" s="539">
        <f t="shared" si="187"/>
        <v>0.4074847995902538</v>
      </c>
      <c r="AF32" s="539">
        <f t="shared" ref="AF32:AP32" si="188">AF29/AF31</f>
        <v>0.38692843779007968</v>
      </c>
      <c r="AG32" s="539">
        <f t="shared" si="188"/>
        <v>0.38104100380390982</v>
      </c>
      <c r="AH32" s="539">
        <f t="shared" si="188"/>
        <v>0.40060792912698701</v>
      </c>
      <c r="AI32" s="539">
        <f t="shared" si="188"/>
        <v>0.40475302689659687</v>
      </c>
      <c r="AJ32" s="539">
        <f t="shared" si="188"/>
        <v>0.42782611062448345</v>
      </c>
      <c r="AK32" s="539">
        <f t="shared" si="188"/>
        <v>0.44078116440105619</v>
      </c>
      <c r="AL32" s="539">
        <f t="shared" si="188"/>
        <v>0.43905330046805202</v>
      </c>
      <c r="AM32" s="539">
        <f t="shared" si="188"/>
        <v>0.42346675696243585</v>
      </c>
      <c r="AN32" s="539">
        <f t="shared" si="188"/>
        <v>0.44546718615084219</v>
      </c>
      <c r="AO32" s="539">
        <f t="shared" si="188"/>
        <v>0.46108301788043193</v>
      </c>
      <c r="AP32" s="539">
        <f t="shared" si="188"/>
        <v>0.45979361848639028</v>
      </c>
      <c r="AQ32" s="539">
        <f t="shared" ref="AQ32:BB32" si="189">AQ29/AQ31</f>
        <v>0.44404382539525133</v>
      </c>
      <c r="AR32" s="539">
        <f t="shared" si="189"/>
        <v>0.45199683448831851</v>
      </c>
      <c r="AS32" s="539" t="e">
        <f t="shared" si="189"/>
        <v>#DIV/0!</v>
      </c>
      <c r="AT32" s="539" t="e">
        <f t="shared" si="189"/>
        <v>#DIV/0!</v>
      </c>
      <c r="AU32" s="539" t="e">
        <f t="shared" si="189"/>
        <v>#DIV/0!</v>
      </c>
      <c r="AV32" s="539" t="e">
        <f t="shared" si="189"/>
        <v>#DIV/0!</v>
      </c>
      <c r="AW32" s="539" t="e">
        <f t="shared" si="189"/>
        <v>#DIV/0!</v>
      </c>
      <c r="AX32" s="539" t="e">
        <f t="shared" si="189"/>
        <v>#DIV/0!</v>
      </c>
      <c r="AY32" s="539" t="e">
        <f t="shared" si="189"/>
        <v>#DIV/0!</v>
      </c>
      <c r="AZ32" s="539" t="e">
        <f t="shared" si="189"/>
        <v>#DIV/0!</v>
      </c>
      <c r="BA32" s="539" t="e">
        <f t="shared" si="189"/>
        <v>#DIV/0!</v>
      </c>
      <c r="BB32" s="539" t="e">
        <f t="shared" si="189"/>
        <v>#DIV/0!</v>
      </c>
    </row>
    <row r="33" spans="2:54">
      <c r="B33" s="105" t="s">
        <v>129</v>
      </c>
      <c r="C33" s="540">
        <v>0.6</v>
      </c>
      <c r="D33" s="540">
        <v>0.6</v>
      </c>
      <c r="E33" s="540">
        <v>0.6</v>
      </c>
      <c r="F33" s="540">
        <v>0.6</v>
      </c>
      <c r="G33" s="540">
        <v>0.6</v>
      </c>
      <c r="H33" s="540">
        <v>0.6</v>
      </c>
      <c r="I33" s="540">
        <v>0.6</v>
      </c>
      <c r="J33" s="540">
        <v>0.6</v>
      </c>
      <c r="K33" s="540">
        <v>0.6</v>
      </c>
      <c r="L33" s="540">
        <v>0.6</v>
      </c>
      <c r="M33" s="540">
        <v>0.6</v>
      </c>
      <c r="N33" s="540">
        <v>0.6</v>
      </c>
      <c r="O33" s="540">
        <v>0.6</v>
      </c>
      <c r="P33" s="540">
        <v>0.6</v>
      </c>
      <c r="Q33" s="540">
        <v>0.6</v>
      </c>
      <c r="R33" s="540">
        <v>0.6</v>
      </c>
      <c r="S33" s="540">
        <v>0.6</v>
      </c>
      <c r="T33" s="540">
        <v>0.6</v>
      </c>
      <c r="U33" s="540">
        <v>0.6</v>
      </c>
      <c r="V33" s="540">
        <v>0.6</v>
      </c>
      <c r="W33" s="540">
        <v>0.6</v>
      </c>
      <c r="X33" s="540">
        <v>0.6</v>
      </c>
      <c r="Y33" s="540">
        <v>0.6</v>
      </c>
      <c r="Z33" s="540">
        <v>0.6</v>
      </c>
      <c r="AA33" s="540">
        <v>0.6</v>
      </c>
      <c r="AB33" s="540">
        <v>0.6</v>
      </c>
      <c r="AC33" s="540">
        <f t="shared" ref="AC33:AI33" si="190">AB33</f>
        <v>0.6</v>
      </c>
      <c r="AD33" s="540">
        <f t="shared" si="190"/>
        <v>0.6</v>
      </c>
      <c r="AE33" s="540">
        <f t="shared" si="190"/>
        <v>0.6</v>
      </c>
      <c r="AF33" s="540">
        <f t="shared" si="190"/>
        <v>0.6</v>
      </c>
      <c r="AG33" s="540">
        <f t="shared" si="190"/>
        <v>0.6</v>
      </c>
      <c r="AH33" s="540">
        <f t="shared" si="190"/>
        <v>0.6</v>
      </c>
      <c r="AI33" s="540">
        <f t="shared" si="190"/>
        <v>0.6</v>
      </c>
      <c r="AJ33" s="540">
        <f t="shared" ref="AJ33:AO33" si="191">AI33</f>
        <v>0.6</v>
      </c>
      <c r="AK33" s="540">
        <f t="shared" si="191"/>
        <v>0.6</v>
      </c>
      <c r="AL33" s="540">
        <f t="shared" si="191"/>
        <v>0.6</v>
      </c>
      <c r="AM33" s="540">
        <f t="shared" si="191"/>
        <v>0.6</v>
      </c>
      <c r="AN33" s="540">
        <f t="shared" si="191"/>
        <v>0.6</v>
      </c>
      <c r="AO33" s="540">
        <f t="shared" si="191"/>
        <v>0.6</v>
      </c>
      <c r="AP33" s="540">
        <v>0.55000000000000004</v>
      </c>
      <c r="AQ33" s="540">
        <f>AP33</f>
        <v>0.55000000000000004</v>
      </c>
      <c r="AR33" s="540">
        <f t="shared" ref="AR33:AU33" si="192">AQ33</f>
        <v>0.55000000000000004</v>
      </c>
      <c r="AS33" s="540">
        <f t="shared" si="192"/>
        <v>0.55000000000000004</v>
      </c>
      <c r="AT33" s="540">
        <f t="shared" si="192"/>
        <v>0.55000000000000004</v>
      </c>
      <c r="AU33" s="540">
        <f t="shared" si="192"/>
        <v>0.55000000000000004</v>
      </c>
      <c r="AV33" s="540">
        <v>0.6</v>
      </c>
      <c r="AW33" s="540">
        <f>AV33</f>
        <v>0.6</v>
      </c>
      <c r="AX33" s="540">
        <f t="shared" ref="AX33:BB33" si="193">AW33</f>
        <v>0.6</v>
      </c>
      <c r="AY33" s="540">
        <f t="shared" si="193"/>
        <v>0.6</v>
      </c>
      <c r="AZ33" s="540">
        <f t="shared" si="193"/>
        <v>0.6</v>
      </c>
      <c r="BA33" s="540">
        <f t="shared" si="193"/>
        <v>0.6</v>
      </c>
      <c r="BB33" s="540">
        <f t="shared" si="193"/>
        <v>0.6</v>
      </c>
    </row>
    <row r="34" spans="2:54" ht="14.5">
      <c r="B34" s="106" t="s">
        <v>131</v>
      </c>
      <c r="C34" s="569">
        <f t="shared" ref="C34:D34" si="194">(C33*C31)-C29</f>
        <v>-8884.6000000000349</v>
      </c>
      <c r="D34" s="569">
        <f t="shared" si="194"/>
        <v>-5037.6000000000349</v>
      </c>
      <c r="E34" s="569">
        <f t="shared" ref="E34:K34" si="195">(E33*E31)-E29</f>
        <v>10686.200000000012</v>
      </c>
      <c r="F34" s="569">
        <f t="shared" si="195"/>
        <v>15880.799999999988</v>
      </c>
      <c r="G34" s="569">
        <f t="shared" si="195"/>
        <v>22184.599999999977</v>
      </c>
      <c r="H34" s="569">
        <f t="shared" si="195"/>
        <v>18978.799999999988</v>
      </c>
      <c r="I34" s="569">
        <f t="shared" si="195"/>
        <v>26478.199999999953</v>
      </c>
      <c r="J34" s="569">
        <f t="shared" si="195"/>
        <v>28957</v>
      </c>
      <c r="K34" s="569">
        <f t="shared" si="195"/>
        <v>49521.599999999977</v>
      </c>
      <c r="L34" s="569">
        <f t="shared" ref="L34:M34" si="196">(L33*L31)-L29</f>
        <v>74762.79999999993</v>
      </c>
      <c r="M34" s="569">
        <f t="shared" si="196"/>
        <v>104010.40000000002</v>
      </c>
      <c r="N34" s="569">
        <f t="shared" ref="N34:O34" si="197">(N33*N31)-N29</f>
        <v>102071.19999999995</v>
      </c>
      <c r="O34" s="569">
        <f t="shared" si="197"/>
        <v>123187.40000000002</v>
      </c>
      <c r="P34" s="569">
        <f t="shared" ref="P34:Q34" si="198">(P33*P31)-P29</f>
        <v>123187.40000000002</v>
      </c>
      <c r="Q34" s="569">
        <f t="shared" si="198"/>
        <v>165227.19999999995</v>
      </c>
      <c r="R34" s="569">
        <f t="shared" ref="R34:S34" si="199">(R33*R31)-R29</f>
        <v>195850</v>
      </c>
      <c r="S34" s="569">
        <f t="shared" si="199"/>
        <v>220908.79999999993</v>
      </c>
      <c r="T34" s="569">
        <f t="shared" ref="T34:U34" si="200">(T33*T31)-T29</f>
        <v>230947.59999999998</v>
      </c>
      <c r="U34" s="569">
        <f t="shared" si="200"/>
        <v>306653.79999999993</v>
      </c>
      <c r="V34" s="569">
        <f t="shared" ref="V34:W34" si="201">(V33*V31)-V29</f>
        <v>362986.6</v>
      </c>
      <c r="W34" s="569">
        <f t="shared" si="201"/>
        <v>436808.19999999995</v>
      </c>
      <c r="X34" s="569">
        <f t="shared" ref="X34:Y34" si="202">(X33*X31)-X29</f>
        <v>556382.79999999993</v>
      </c>
      <c r="Y34" s="569">
        <f t="shared" si="202"/>
        <v>527512.19999999995</v>
      </c>
      <c r="Z34" s="569">
        <f t="shared" ref="Z34:AA34" si="203">(Z33*Z31)-Z29</f>
        <v>523248.19999999995</v>
      </c>
      <c r="AA34" s="569">
        <f t="shared" si="203"/>
        <v>527166.39999999991</v>
      </c>
      <c r="AB34" s="569">
        <f t="shared" ref="AB34:AC34" si="204">(AB33*AB31)-AB29</f>
        <v>446761.19999999995</v>
      </c>
      <c r="AC34" s="569">
        <f t="shared" si="204"/>
        <v>435664.39999999991</v>
      </c>
      <c r="AD34" s="569">
        <f t="shared" ref="AD34:AE34" si="205">(AD33*AD31)-AD29</f>
        <v>460355.80000000005</v>
      </c>
      <c r="AE34" s="569">
        <f t="shared" si="205"/>
        <v>527724.39999999991</v>
      </c>
      <c r="AF34" s="569">
        <f t="shared" ref="AF34:AP34" si="206">(AF33*AF31)-AF29</f>
        <v>575915.59999999986</v>
      </c>
      <c r="AG34" s="569">
        <f t="shared" si="206"/>
        <v>605317.39999999991</v>
      </c>
      <c r="AH34" s="569">
        <f t="shared" si="206"/>
        <v>592473.39999999991</v>
      </c>
      <c r="AI34" s="569">
        <f t="shared" si="206"/>
        <v>602177.19999999995</v>
      </c>
      <c r="AJ34" s="569">
        <f t="shared" si="206"/>
        <v>556661.59999999986</v>
      </c>
      <c r="AK34" s="569">
        <f t="shared" si="206"/>
        <v>542322.59999999986</v>
      </c>
      <c r="AL34" s="569">
        <f t="shared" si="206"/>
        <v>566895.79999999981</v>
      </c>
      <c r="AM34" s="569">
        <f t="shared" si="206"/>
        <v>617276.19999999972</v>
      </c>
      <c r="AN34" s="569">
        <f t="shared" si="206"/>
        <v>563573.60000000009</v>
      </c>
      <c r="AO34" s="569">
        <f t="shared" si="206"/>
        <v>524484.39999999991</v>
      </c>
      <c r="AP34" s="569">
        <f t="shared" si="206"/>
        <v>343610.45000000019</v>
      </c>
      <c r="AQ34" s="569">
        <f t="shared" ref="AQ34:BB34" si="207">(AQ33*AQ31)-AQ29</f>
        <v>395340.50000000023</v>
      </c>
      <c r="AR34" s="569">
        <f t="shared" si="207"/>
        <v>370649.05000000028</v>
      </c>
      <c r="AS34" s="569">
        <f t="shared" si="207"/>
        <v>0</v>
      </c>
      <c r="AT34" s="569">
        <f t="shared" si="207"/>
        <v>0</v>
      </c>
      <c r="AU34" s="569">
        <f t="shared" si="207"/>
        <v>0</v>
      </c>
      <c r="AV34" s="569">
        <f t="shared" si="207"/>
        <v>0</v>
      </c>
      <c r="AW34" s="569">
        <f t="shared" si="207"/>
        <v>0</v>
      </c>
      <c r="AX34" s="569">
        <f t="shared" si="207"/>
        <v>0</v>
      </c>
      <c r="AY34" s="569">
        <f t="shared" si="207"/>
        <v>0</v>
      </c>
      <c r="AZ34" s="569">
        <f t="shared" si="207"/>
        <v>0</v>
      </c>
      <c r="BA34" s="569">
        <f t="shared" si="207"/>
        <v>0</v>
      </c>
      <c r="BB34" s="569">
        <f t="shared" si="207"/>
        <v>0</v>
      </c>
    </row>
    <row r="35" spans="2:54" ht="14.5">
      <c r="B35" s="106" t="s">
        <v>132</v>
      </c>
      <c r="C35" s="469">
        <f t="shared" ref="C35:D35" si="208">C33/C32-1</f>
        <v>-2.3695805240249168E-2</v>
      </c>
      <c r="D35" s="469">
        <f t="shared" si="208"/>
        <v>-1.2931246919664852E-2</v>
      </c>
      <c r="E35" s="469">
        <f t="shared" ref="E35:K35" si="209">E33/E32-1</f>
        <v>2.6287280205453012E-2</v>
      </c>
      <c r="F35" s="469">
        <f t="shared" si="209"/>
        <v>3.6252816414302336E-2</v>
      </c>
      <c r="G35" s="469">
        <f t="shared" si="209"/>
        <v>4.8299525595835391E-2</v>
      </c>
      <c r="H35" s="469">
        <f t="shared" si="209"/>
        <v>3.838862750967853E-2</v>
      </c>
      <c r="I35" s="469">
        <f t="shared" si="209"/>
        <v>5.0404040211757151E-2</v>
      </c>
      <c r="J35" s="469">
        <f t="shared" si="209"/>
        <v>5.0248317652244356E-2</v>
      </c>
      <c r="K35" s="469">
        <f t="shared" si="209"/>
        <v>8.3928371686275316E-2</v>
      </c>
      <c r="L35" s="469">
        <f t="shared" ref="L35:M35" si="210">L33/L32-1</f>
        <v>0.13076866567083778</v>
      </c>
      <c r="M35" s="469">
        <f t="shared" si="210"/>
        <v>0.18192605445341914</v>
      </c>
      <c r="N35" s="469">
        <f t="shared" ref="N35:O35" si="211">N33/N32-1</f>
        <v>0.16261273389146003</v>
      </c>
      <c r="O35" s="469">
        <f t="shared" si="211"/>
        <v>0.18843658123946438</v>
      </c>
      <c r="P35" s="469">
        <f t="shared" ref="P35:Q35" si="212">P33/P32-1</f>
        <v>0.18843658123946438</v>
      </c>
      <c r="Q35" s="469">
        <f t="shared" si="212"/>
        <v>0.25274338990569567</v>
      </c>
      <c r="R35" s="469">
        <f t="shared" ref="R35:S35" si="213">R33/R32-1</f>
        <v>0.29958622377568878</v>
      </c>
      <c r="S35" s="469">
        <f t="shared" si="213"/>
        <v>0.31989851699854754</v>
      </c>
      <c r="T35" s="469">
        <f t="shared" ref="T35:U35" si="214">T33/T32-1</f>
        <v>0.33443524096385535</v>
      </c>
      <c r="U35" s="469">
        <f t="shared" si="214"/>
        <v>0.52153692041069366</v>
      </c>
      <c r="V35" s="469">
        <f t="shared" ref="V35:W35" si="215">V33/V32-1</f>
        <v>0.61734409785350186</v>
      </c>
      <c r="W35" s="469">
        <f t="shared" si="215"/>
        <v>0.74289509354894112</v>
      </c>
      <c r="X35" s="469">
        <f t="shared" ref="X35:Y35" si="216">X33/X32-1</f>
        <v>1.3440886294896943</v>
      </c>
      <c r="Y35" s="469">
        <f t="shared" si="216"/>
        <v>0.90380669435420846</v>
      </c>
      <c r="Z35" s="469">
        <f t="shared" ref="Z35:AA35" si="217">Z33/Z32-1</f>
        <v>0.7855470849459687</v>
      </c>
      <c r="AA35" s="469">
        <f t="shared" si="217"/>
        <v>0.70426701864449326</v>
      </c>
      <c r="AB35" s="469">
        <f t="shared" ref="AB35:AC35" si="218">AB33/AB32-1</f>
        <v>0.44516040319012817</v>
      </c>
      <c r="AC35" s="469">
        <f t="shared" si="218"/>
        <v>0.37704746928287602</v>
      </c>
      <c r="AD35" s="469">
        <f t="shared" ref="AD35:AE35" si="219">AD33/AD32-1</f>
        <v>0.37424227766663054</v>
      </c>
      <c r="AE35" s="469">
        <f t="shared" si="219"/>
        <v>0.47244756271480504</v>
      </c>
      <c r="AF35" s="469">
        <f t="shared" ref="AF35:AP35" si="220">AF33/AF32-1</f>
        <v>0.55067434026526119</v>
      </c>
      <c r="AG35" s="469">
        <f t="shared" si="220"/>
        <v>0.57463368511586799</v>
      </c>
      <c r="AH35" s="469">
        <f t="shared" si="220"/>
        <v>0.49772372530801445</v>
      </c>
      <c r="AI35" s="469">
        <f t="shared" si="220"/>
        <v>0.482385455151354</v>
      </c>
      <c r="AJ35" s="469">
        <f t="shared" si="220"/>
        <v>0.40243894680528047</v>
      </c>
      <c r="AK35" s="469">
        <f t="shared" si="220"/>
        <v>0.36121969008202526</v>
      </c>
      <c r="AL35" s="469">
        <f t="shared" si="220"/>
        <v>0.3665766761356104</v>
      </c>
      <c r="AM35" s="469">
        <f t="shared" si="220"/>
        <v>0.41687627218687129</v>
      </c>
      <c r="AN35" s="469">
        <f t="shared" si="220"/>
        <v>0.34690055441441769</v>
      </c>
      <c r="AO35" s="469">
        <f t="shared" si="220"/>
        <v>0.30128410011316453</v>
      </c>
      <c r="AP35" s="469">
        <f t="shared" si="220"/>
        <v>0.1961888505772722</v>
      </c>
      <c r="AQ35" s="469">
        <f t="shared" ref="AQ35:BB35" si="221">AQ33/AQ32-1</f>
        <v>0.23861648005224545</v>
      </c>
      <c r="AR35" s="469">
        <f t="shared" si="221"/>
        <v>0.21682268112037928</v>
      </c>
      <c r="AS35" s="469" t="e">
        <f t="shared" si="221"/>
        <v>#DIV/0!</v>
      </c>
      <c r="AT35" s="469" t="e">
        <f t="shared" si="221"/>
        <v>#DIV/0!</v>
      </c>
      <c r="AU35" s="469" t="e">
        <f t="shared" si="221"/>
        <v>#DIV/0!</v>
      </c>
      <c r="AV35" s="469" t="e">
        <f t="shared" si="221"/>
        <v>#DIV/0!</v>
      </c>
      <c r="AW35" s="469" t="e">
        <f t="shared" si="221"/>
        <v>#DIV/0!</v>
      </c>
      <c r="AX35" s="469" t="e">
        <f t="shared" si="221"/>
        <v>#DIV/0!</v>
      </c>
      <c r="AY35" s="469" t="e">
        <f t="shared" si="221"/>
        <v>#DIV/0!</v>
      </c>
      <c r="AZ35" s="469" t="e">
        <f t="shared" si="221"/>
        <v>#DIV/0!</v>
      </c>
      <c r="BA35" s="469" t="e">
        <f t="shared" si="221"/>
        <v>#DIV/0!</v>
      </c>
      <c r="BB35" s="469" t="e">
        <f t="shared" si="221"/>
        <v>#DIV/0!</v>
      </c>
    </row>
    <row r="36" spans="2:54">
      <c r="B36" s="525" t="s">
        <v>130</v>
      </c>
      <c r="C36" s="526" t="str">
        <f t="shared" ref="C36:D36" si="222">IF(C32&lt;=C33,"Compliant","Violation")</f>
        <v>Violation</v>
      </c>
      <c r="D36" s="526" t="str">
        <f t="shared" si="222"/>
        <v>Violation</v>
      </c>
      <c r="E36" s="526" t="str">
        <f t="shared" ref="E36:K36" si="223">IF(E32&lt;=E33,"Compliant","Violation")</f>
        <v>Compliant</v>
      </c>
      <c r="F36" s="526" t="str">
        <f t="shared" si="223"/>
        <v>Compliant</v>
      </c>
      <c r="G36" s="526" t="str">
        <f t="shared" si="223"/>
        <v>Compliant</v>
      </c>
      <c r="H36" s="526" t="str">
        <f t="shared" si="223"/>
        <v>Compliant</v>
      </c>
      <c r="I36" s="526" t="str">
        <f t="shared" si="223"/>
        <v>Compliant</v>
      </c>
      <c r="J36" s="526" t="str">
        <f t="shared" si="223"/>
        <v>Compliant</v>
      </c>
      <c r="K36" s="526" t="str">
        <f t="shared" si="223"/>
        <v>Compliant</v>
      </c>
      <c r="L36" s="526" t="str">
        <f t="shared" ref="L36:M36" si="224">IF(L32&lt;=L33,"Compliant","Violation")</f>
        <v>Compliant</v>
      </c>
      <c r="M36" s="526" t="str">
        <f t="shared" si="224"/>
        <v>Compliant</v>
      </c>
      <c r="N36" s="526" t="str">
        <f t="shared" ref="N36:O36" si="225">IF(N32&lt;=N33,"Compliant","Violation")</f>
        <v>Compliant</v>
      </c>
      <c r="O36" s="526" t="str">
        <f t="shared" si="225"/>
        <v>Compliant</v>
      </c>
      <c r="P36" s="526" t="str">
        <f t="shared" ref="P36:Q36" si="226">IF(P32&lt;=P33,"Compliant","Violation")</f>
        <v>Compliant</v>
      </c>
      <c r="Q36" s="526" t="str">
        <f t="shared" si="226"/>
        <v>Compliant</v>
      </c>
      <c r="R36" s="526" t="str">
        <f t="shared" ref="R36:S36" si="227">IF(R32&lt;=R33,"Compliant","Violation")</f>
        <v>Compliant</v>
      </c>
      <c r="S36" s="526" t="str">
        <f t="shared" si="227"/>
        <v>Compliant</v>
      </c>
      <c r="T36" s="526" t="str">
        <f t="shared" ref="T36:U36" si="228">IF(T32&lt;=T33,"Compliant","Violation")</f>
        <v>Compliant</v>
      </c>
      <c r="U36" s="526" t="str">
        <f t="shared" si="228"/>
        <v>Compliant</v>
      </c>
      <c r="V36" s="526" t="str">
        <f t="shared" ref="V36:W36" si="229">IF(V32&lt;=V33,"Compliant","Violation")</f>
        <v>Compliant</v>
      </c>
      <c r="W36" s="526" t="str">
        <f t="shared" si="229"/>
        <v>Compliant</v>
      </c>
      <c r="X36" s="526" t="str">
        <f t="shared" ref="X36:Y36" si="230">IF(X32&lt;=X33,"Compliant","Violation")</f>
        <v>Compliant</v>
      </c>
      <c r="Y36" s="526" t="str">
        <f t="shared" si="230"/>
        <v>Compliant</v>
      </c>
      <c r="Z36" s="526" t="str">
        <f t="shared" ref="Z36:AA36" si="231">IF(Z32&lt;=Z33,"Compliant","Violation")</f>
        <v>Compliant</v>
      </c>
      <c r="AA36" s="526" t="str">
        <f t="shared" si="231"/>
        <v>Compliant</v>
      </c>
      <c r="AB36" s="526" t="str">
        <f t="shared" ref="AB36:AC36" si="232">IF(AB32&lt;=AB33,"Compliant","Violation")</f>
        <v>Compliant</v>
      </c>
      <c r="AC36" s="526" t="str">
        <f t="shared" si="232"/>
        <v>Compliant</v>
      </c>
      <c r="AD36" s="526" t="str">
        <f t="shared" ref="AD36:AE36" si="233">IF(AD32&lt;=AD33,"Compliant","Violation")</f>
        <v>Compliant</v>
      </c>
      <c r="AE36" s="526" t="str">
        <f t="shared" si="233"/>
        <v>Compliant</v>
      </c>
      <c r="AF36" s="526" t="str">
        <f t="shared" ref="AF36:AP36" si="234">IF(AF32&lt;=AF33,"Compliant","Violation")</f>
        <v>Compliant</v>
      </c>
      <c r="AG36" s="526" t="str">
        <f t="shared" si="234"/>
        <v>Compliant</v>
      </c>
      <c r="AH36" s="526" t="str">
        <f t="shared" si="234"/>
        <v>Compliant</v>
      </c>
      <c r="AI36" s="526" t="str">
        <f t="shared" si="234"/>
        <v>Compliant</v>
      </c>
      <c r="AJ36" s="526" t="str">
        <f t="shared" si="234"/>
        <v>Compliant</v>
      </c>
      <c r="AK36" s="526" t="str">
        <f t="shared" si="234"/>
        <v>Compliant</v>
      </c>
      <c r="AL36" s="526" t="str">
        <f t="shared" si="234"/>
        <v>Compliant</v>
      </c>
      <c r="AM36" s="526" t="str">
        <f t="shared" si="234"/>
        <v>Compliant</v>
      </c>
      <c r="AN36" s="526" t="str">
        <f t="shared" si="234"/>
        <v>Compliant</v>
      </c>
      <c r="AO36" s="526" t="str">
        <f t="shared" si="234"/>
        <v>Compliant</v>
      </c>
      <c r="AP36" s="526" t="str">
        <f t="shared" si="234"/>
        <v>Compliant</v>
      </c>
      <c r="AQ36" s="526" t="str">
        <f t="shared" ref="AQ36:BB36" si="235">IF(AQ32&lt;=AQ33,"Compliant","Violation")</f>
        <v>Compliant</v>
      </c>
      <c r="AR36" s="526" t="str">
        <f t="shared" si="235"/>
        <v>Compliant</v>
      </c>
      <c r="AS36" s="526" t="e">
        <f t="shared" si="235"/>
        <v>#DIV/0!</v>
      </c>
      <c r="AT36" s="526" t="e">
        <f t="shared" si="235"/>
        <v>#DIV/0!</v>
      </c>
      <c r="AU36" s="526" t="e">
        <f t="shared" si="235"/>
        <v>#DIV/0!</v>
      </c>
      <c r="AV36" s="526" t="e">
        <f t="shared" si="235"/>
        <v>#DIV/0!</v>
      </c>
      <c r="AW36" s="526" t="e">
        <f t="shared" si="235"/>
        <v>#DIV/0!</v>
      </c>
      <c r="AX36" s="526" t="e">
        <f t="shared" si="235"/>
        <v>#DIV/0!</v>
      </c>
      <c r="AY36" s="526" t="e">
        <f t="shared" si="235"/>
        <v>#DIV/0!</v>
      </c>
      <c r="AZ36" s="526" t="e">
        <f t="shared" si="235"/>
        <v>#DIV/0!</v>
      </c>
      <c r="BA36" s="526" t="e">
        <f t="shared" si="235"/>
        <v>#DIV/0!</v>
      </c>
      <c r="BB36" s="526" t="e">
        <f t="shared" si="235"/>
        <v>#DIV/0!</v>
      </c>
    </row>
    <row r="37" spans="2:54">
      <c r="B37" s="567"/>
      <c r="C37" s="567"/>
      <c r="D37" s="567"/>
      <c r="E37" s="567"/>
      <c r="F37" s="567"/>
      <c r="G37" s="567"/>
      <c r="H37" s="567"/>
      <c r="I37" s="567"/>
      <c r="J37" s="567"/>
      <c r="K37" s="567"/>
      <c r="L37" s="567"/>
      <c r="M37" s="567"/>
      <c r="N37" s="567"/>
      <c r="O37" s="567"/>
      <c r="P37" s="567"/>
      <c r="Q37" s="567"/>
      <c r="R37" s="567"/>
      <c r="S37" s="567"/>
      <c r="T37" s="567"/>
      <c r="U37" s="567"/>
      <c r="V37" s="567"/>
      <c r="W37" s="567"/>
      <c r="X37" s="567"/>
      <c r="Y37" s="567"/>
      <c r="Z37" s="567"/>
      <c r="AA37" s="567"/>
      <c r="AB37" s="567"/>
      <c r="AC37" s="567"/>
      <c r="AD37" s="567"/>
      <c r="AE37" s="567"/>
      <c r="AF37" s="567"/>
      <c r="AG37" s="567"/>
      <c r="AH37" s="567"/>
      <c r="AI37" s="567"/>
      <c r="AJ37" s="567"/>
      <c r="AK37" s="567"/>
      <c r="AL37" s="567"/>
      <c r="AM37" s="567"/>
      <c r="AN37" s="567"/>
      <c r="AO37" s="567"/>
      <c r="AP37" s="567"/>
      <c r="AQ37" s="567"/>
      <c r="AR37" s="567"/>
      <c r="AS37" s="567"/>
      <c r="AT37" s="567"/>
      <c r="AU37" s="567"/>
      <c r="AV37" s="567"/>
      <c r="AW37" s="567"/>
      <c r="AX37" s="567"/>
      <c r="AY37" s="567"/>
      <c r="AZ37" s="567"/>
      <c r="BA37" s="567"/>
      <c r="BB37" s="567"/>
    </row>
    <row r="38" spans="2:54" hidden="1">
      <c r="B38" s="164" t="s">
        <v>266</v>
      </c>
      <c r="C38" s="165">
        <f>$C$3</f>
        <v>42369</v>
      </c>
      <c r="D38" s="165">
        <f>EOMONTH(C38,3)</f>
        <v>42460</v>
      </c>
      <c r="E38" s="165">
        <f t="shared" ref="E38:S38" si="236">EOMONTH(D38,3)</f>
        <v>42551</v>
      </c>
      <c r="F38" s="165">
        <f t="shared" si="236"/>
        <v>42643</v>
      </c>
      <c r="G38" s="165">
        <f t="shared" si="236"/>
        <v>42735</v>
      </c>
      <c r="H38" s="165">
        <f t="shared" si="236"/>
        <v>42825</v>
      </c>
      <c r="I38" s="165">
        <f t="shared" si="236"/>
        <v>42916</v>
      </c>
      <c r="J38" s="165">
        <f t="shared" si="236"/>
        <v>43008</v>
      </c>
      <c r="K38" s="165">
        <f t="shared" si="236"/>
        <v>43100</v>
      </c>
      <c r="L38" s="165">
        <f t="shared" si="236"/>
        <v>43190</v>
      </c>
      <c r="M38" s="165">
        <f t="shared" ref="M38:R38" si="237">EOMONTH(L38,3)</f>
        <v>43281</v>
      </c>
      <c r="N38" s="165">
        <f t="shared" si="237"/>
        <v>43373</v>
      </c>
      <c r="O38" s="165">
        <f t="shared" si="237"/>
        <v>43465</v>
      </c>
      <c r="P38" s="165">
        <f t="shared" si="237"/>
        <v>43555</v>
      </c>
      <c r="Q38" s="165">
        <f t="shared" si="237"/>
        <v>43646</v>
      </c>
      <c r="R38" s="165">
        <f t="shared" si="237"/>
        <v>43738</v>
      </c>
      <c r="S38" s="165">
        <f t="shared" si="236"/>
        <v>43830</v>
      </c>
      <c r="T38" s="165">
        <f t="shared" ref="T38" si="238">EOMONTH(S38,3)</f>
        <v>43921</v>
      </c>
      <c r="U38" s="165">
        <f t="shared" ref="U38" si="239">EOMONTH(T38,3)</f>
        <v>44012</v>
      </c>
      <c r="V38" s="165">
        <f t="shared" ref="V38" si="240">EOMONTH(U38,3)</f>
        <v>44104</v>
      </c>
      <c r="W38" s="165">
        <f t="shared" ref="W38" si="241">EOMONTH(V38,3)</f>
        <v>44196</v>
      </c>
      <c r="X38" s="165">
        <f t="shared" ref="X38" si="242">EOMONTH(W38,3)</f>
        <v>44286</v>
      </c>
      <c r="Y38" s="165">
        <f t="shared" ref="Y38:AA38" si="243">EOMONTH(X38,3)</f>
        <v>44377</v>
      </c>
      <c r="Z38" s="165">
        <f t="shared" ref="Z38:AB38" si="244">EOMONTH(Y38,3)</f>
        <v>44469</v>
      </c>
      <c r="AA38" s="165">
        <f t="shared" si="243"/>
        <v>44561</v>
      </c>
      <c r="AB38" s="165">
        <f t="shared" si="244"/>
        <v>44651</v>
      </c>
      <c r="AC38" s="165">
        <f t="shared" ref="AC38" si="245">EOMONTH(AB38,3)</f>
        <v>44742</v>
      </c>
      <c r="AD38" s="165">
        <f t="shared" ref="AD38" si="246">EOMONTH(AC38,3)</f>
        <v>44834</v>
      </c>
      <c r="AE38" s="165">
        <f t="shared" ref="AE38" si="247">EOMONTH(AD38,3)</f>
        <v>44926</v>
      </c>
      <c r="AF38" s="165">
        <f t="shared" ref="AF38" si="248">EOMONTH(AE38,3)</f>
        <v>45016</v>
      </c>
      <c r="AG38" s="165">
        <f t="shared" ref="AG38" si="249">EOMONTH(AF38,3)</f>
        <v>45107</v>
      </c>
      <c r="AH38" s="165">
        <f t="shared" ref="AH38" si="250">EOMONTH(AG38,3)</f>
        <v>45199</v>
      </c>
      <c r="AI38" s="165">
        <f t="shared" ref="AI38" si="251">EOMONTH(AH38,3)</f>
        <v>45291</v>
      </c>
      <c r="AJ38" s="165">
        <f t="shared" ref="AJ38" si="252">EOMONTH(AI38,3)</f>
        <v>45382</v>
      </c>
      <c r="AK38" s="165">
        <f t="shared" ref="AK38" si="253">EOMONTH(AJ38,3)</f>
        <v>45473</v>
      </c>
      <c r="AL38" s="165">
        <f t="shared" ref="AL38" si="254">EOMONTH(AK38,3)</f>
        <v>45565</v>
      </c>
      <c r="AM38" s="165">
        <f t="shared" ref="AM38" si="255">EOMONTH(AL38,3)</f>
        <v>45657</v>
      </c>
      <c r="AN38" s="165">
        <f t="shared" ref="AN38" si="256">EOMONTH(AM38,3)</f>
        <v>45747</v>
      </c>
      <c r="AO38" s="165">
        <f t="shared" ref="AO38" si="257">EOMONTH(AN38,3)</f>
        <v>45838</v>
      </c>
      <c r="AP38" s="165">
        <f t="shared" ref="AP38" si="258">EOMONTH(AO38,3)</f>
        <v>45930</v>
      </c>
      <c r="AQ38" s="165">
        <f t="shared" ref="AQ38" si="259">EOMONTH(AP38,3)</f>
        <v>46022</v>
      </c>
      <c r="AR38" s="165">
        <f t="shared" ref="AR38" si="260">EOMONTH(AQ38,3)</f>
        <v>46112</v>
      </c>
      <c r="AS38" s="165">
        <f t="shared" ref="AS38" si="261">EOMONTH(AR38,3)</f>
        <v>46203</v>
      </c>
      <c r="AT38" s="165">
        <f t="shared" ref="AT38" si="262">EOMONTH(AS38,3)</f>
        <v>46295</v>
      </c>
      <c r="AU38" s="165">
        <f t="shared" ref="AU38" si="263">EOMONTH(AT38,3)</f>
        <v>46387</v>
      </c>
      <c r="AV38" s="165">
        <f t="shared" ref="AV38" si="264">EOMONTH(AU38,3)</f>
        <v>46477</v>
      </c>
      <c r="AW38" s="165">
        <f t="shared" ref="AW38" si="265">EOMONTH(AV38,3)</f>
        <v>46568</v>
      </c>
      <c r="AX38" s="165">
        <f t="shared" ref="AX38" si="266">EOMONTH(AW38,3)</f>
        <v>46660</v>
      </c>
      <c r="AY38" s="165">
        <f t="shared" ref="AY38" si="267">EOMONTH(AX38,3)</f>
        <v>46752</v>
      </c>
      <c r="AZ38" s="165">
        <f t="shared" ref="AZ38" si="268">EOMONTH(AY38,3)</f>
        <v>46843</v>
      </c>
      <c r="BA38" s="165">
        <f t="shared" ref="BA38" si="269">EOMONTH(AZ38,3)</f>
        <v>46934</v>
      </c>
      <c r="BB38" s="165">
        <f t="shared" ref="BB38" si="270">EOMONTH(BA38,3)</f>
        <v>47026</v>
      </c>
    </row>
    <row r="39" spans="2:54" hidden="1">
      <c r="B39" s="567" t="s">
        <v>267</v>
      </c>
      <c r="C39" s="569"/>
      <c r="D39" s="569"/>
      <c r="E39" s="567">
        <f>INDEX(Inventory!$B$8:$ZZ$11,MATCH(Inventory!$B$9,Inventory!$B$8:$B$11,0),MATCH(Covenants!E38,Inventory!$B$8:$ZZ$8,0))+INDEX(Inventory!$B$8:$ZZ$11,MATCH(Inventory!$B$9,Inventory!$B$8:$B$11,0),MATCH(Covenants!D38,Inventory!$B$8:$ZZ$8,0))</f>
        <v>1972</v>
      </c>
      <c r="F39" s="567">
        <f>INDEX(Inventory!$B$8:$ZZ$11,MATCH(Inventory!$B$9,Inventory!$B$8:$B$11,0),MATCH(Covenants!F38,Inventory!$B$8:$ZZ$8,0))+INDEX(Inventory!$B$8:$ZZ$11,MATCH(Inventory!$B$9,Inventory!$B$8:$B$11,0),MATCH(Covenants!E38,Inventory!$B$8:$ZZ$8,0))</f>
        <v>1469</v>
      </c>
      <c r="G39" s="567">
        <f>INDEX(Inventory!$B$8:$ZZ$11,MATCH(Inventory!$B$9,Inventory!$B$8:$B$11,0),MATCH(Covenants!G38,Inventory!$B$8:$ZZ$8,0))+INDEX(Inventory!$B$8:$ZZ$11,MATCH(Inventory!$B$9,Inventory!$B$8:$B$11,0),MATCH(Covenants!F38,Inventory!$B$8:$ZZ$8,0))</f>
        <v>721</v>
      </c>
      <c r="H39" s="567">
        <f>INDEX(Inventory!$B$8:$ZZ$11,MATCH(Inventory!$B$9,Inventory!$B$8:$B$11,0),MATCH(Covenants!H38,Inventory!$B$8:$ZZ$8,0))+INDEX(Inventory!$B$8:$ZZ$11,MATCH(Inventory!$B$9,Inventory!$B$8:$B$11,0),MATCH(Covenants!G38,Inventory!$B$8:$ZZ$8,0))</f>
        <v>1224</v>
      </c>
      <c r="I39" s="567">
        <f>INDEX(Inventory!$B$8:$ZZ$11,MATCH(Inventory!$B$9,Inventory!$B$8:$B$11,0),MATCH(Covenants!I38,Inventory!$B$8:$ZZ$8,0))+INDEX(Inventory!$B$8:$ZZ$11,MATCH(Inventory!$B$9,Inventory!$B$8:$B$11,0),MATCH(Covenants!H38,Inventory!$B$8:$ZZ$8,0))</f>
        <v>2272</v>
      </c>
      <c r="J39" s="567">
        <f>INDEX(Inventory!$B$8:$ZZ$11,MATCH(Inventory!$B$9,Inventory!$B$8:$B$11,0),MATCH(Covenants!J38,Inventory!$B$8:$ZZ$8,0))+INDEX(Inventory!$B$8:$ZZ$11,MATCH(Inventory!$B$9,Inventory!$B$8:$B$11,0),MATCH(Covenants!I38,Inventory!$B$8:$ZZ$8,0))</f>
        <v>3157</v>
      </c>
      <c r="K39" s="567">
        <f>INDEX(Inventory!$B$8:$ZZ$11,MATCH(Inventory!$B$9,Inventory!$B$8:$B$11,0),MATCH(Covenants!K38,Inventory!$B$8:$ZZ$8,0))+INDEX(Inventory!$B$8:$ZZ$11,MATCH(Inventory!$B$9,Inventory!$B$8:$B$11,0),MATCH(Covenants!J38,Inventory!$B$8:$ZZ$8,0))</f>
        <v>3387</v>
      </c>
      <c r="L39" s="567">
        <f>INDEX(Inventory!$B$8:$ZZ$11,MATCH(Inventory!$B$9,Inventory!$B$8:$B$11,0),MATCH(Covenants!L38,Inventory!$B$8:$ZZ$8,0))+INDEX(Inventory!$B$8:$ZZ$11,MATCH(Inventory!$B$9,Inventory!$B$8:$B$11,0),MATCH(Covenants!K38,Inventory!$B$8:$ZZ$8,0))</f>
        <v>2902</v>
      </c>
      <c r="M39" s="567">
        <f>INDEX(Inventory!$B$8:$ZZ$11,MATCH(Inventory!$B$9,Inventory!$B$8:$B$11,0),MATCH(Covenants!M38,Inventory!$B$8:$ZZ$8,0))+INDEX(Inventory!$B$8:$ZZ$11,MATCH(Inventory!$B$9,Inventory!$B$8:$B$11,0),MATCH(Covenants!L38,Inventory!$B$8:$ZZ$8,0))</f>
        <v>3059</v>
      </c>
      <c r="N39" s="567">
        <f>INDEX(Inventory!$B$8:$ZZ$11,MATCH(Inventory!$B$9,Inventory!$B$8:$B$11,0),MATCH(Covenants!N38,Inventory!$B$8:$ZZ$8,0))+INDEX(Inventory!$B$8:$ZZ$11,MATCH(Inventory!$B$9,Inventory!$B$8:$B$11,0),MATCH(Covenants!M38,Inventory!$B$8:$ZZ$8,0))</f>
        <v>3544</v>
      </c>
      <c r="O39" s="567">
        <f>INDEX(Inventory!$B$8:$ZZ$11,MATCH(Inventory!$B$9,Inventory!$B$8:$B$11,0),MATCH(Covenants!O38,Inventory!$B$8:$ZZ$8,0))+INDEX(Inventory!$B$8:$ZZ$11,MATCH(Inventory!$B$9,Inventory!$B$8:$B$11,0),MATCH(Covenants!N38,Inventory!$B$8:$ZZ$8,0))</f>
        <v>3453</v>
      </c>
      <c r="P39" s="567">
        <f>INDEX(Inventory!$B$8:$ZZ$11,MATCH(Inventory!$B$9,Inventory!$B$8:$B$11,0),MATCH(Covenants!P38,Inventory!$B$8:$ZZ$8,0))+INDEX(Inventory!$B$8:$ZZ$11,MATCH(Inventory!$B$9,Inventory!$B$8:$B$11,0),MATCH(Covenants!O38,Inventory!$B$8:$ZZ$8,0))</f>
        <v>2952</v>
      </c>
      <c r="Q39" s="567">
        <f>INDEX(Inventory!$B$8:$ZZ$11,MATCH(Inventory!$B$9,Inventory!$B$8:$B$11,0),MATCH(Covenants!Q38,Inventory!$B$8:$ZZ$8,0))+INDEX(Inventory!$B$8:$ZZ$11,MATCH(Inventory!$B$9,Inventory!$B$8:$B$11,0),MATCH(Covenants!P38,Inventory!$B$8:$ZZ$8,0))</f>
        <v>3043</v>
      </c>
      <c r="R39" s="567">
        <f>INDEX(Inventory!$B$8:$ZZ$11,MATCH(Inventory!$B$9,Inventory!$B$8:$B$11,0),MATCH(Covenants!R38,Inventory!$B$8:$ZZ$8,0))+INDEX(Inventory!$B$8:$ZZ$11,MATCH(Inventory!$B$9,Inventory!$B$8:$B$11,0),MATCH(Covenants!Q38,Inventory!$B$8:$ZZ$8,0))</f>
        <v>3947</v>
      </c>
      <c r="S39" s="567">
        <f>INDEX(Inventory!$B$8:$ZZ$11,MATCH(Inventory!$B$9,Inventory!$B$8:$B$11,0),MATCH(Covenants!S38,Inventory!$B$8:$ZZ$8,0))+INDEX(Inventory!$B$8:$ZZ$11,MATCH(Inventory!$B$9,Inventory!$B$8:$B$11,0),MATCH(Covenants!R38,Inventory!$B$8:$ZZ$8,0))</f>
        <v>4647</v>
      </c>
      <c r="T39" s="567">
        <f>INDEX(Inventory!$B$8:$ZZ$11,MATCH(Inventory!$B$9,Inventory!$B$8:$B$11,0),MATCH(Covenants!T38,Inventory!$B$8:$ZZ$8,0))+INDEX(Inventory!$B$8:$ZZ$11,MATCH(Inventory!$B$9,Inventory!$B$8:$B$11,0),MATCH(Covenants!S38,Inventory!$B$8:$ZZ$8,0))</f>
        <v>4350</v>
      </c>
      <c r="U39" s="567">
        <f>INDEX(Inventory!$B$8:$ZZ$11,MATCH(Inventory!$B$9,Inventory!$B$8:$B$11,0),MATCH(Covenants!U38,Inventory!$B$8:$ZZ$8,0))+INDEX(Inventory!$B$8:$ZZ$11,MATCH(Inventory!$B$9,Inventory!$B$8:$B$11,0),MATCH(Covenants!T38,Inventory!$B$8:$ZZ$8,0))</f>
        <v>3779</v>
      </c>
      <c r="V39" s="567">
        <f>INDEX(Inventory!$B$8:$ZZ$11,MATCH(Inventory!$B$9,Inventory!$B$8:$B$11,0),MATCH(Covenants!V38,Inventory!$B$8:$ZZ$8,0))+INDEX(Inventory!$B$8:$ZZ$11,MATCH(Inventory!$B$9,Inventory!$B$8:$B$11,0),MATCH(Covenants!U38,Inventory!$B$8:$ZZ$8,0))</f>
        <v>4035</v>
      </c>
      <c r="W39" s="567">
        <f>INDEX(Inventory!$B$8:$ZZ$11,MATCH(Inventory!$B$9,Inventory!$B$8:$B$11,0),MATCH(Covenants!W38,Inventory!$B$8:$ZZ$8,0))+INDEX(Inventory!$B$8:$ZZ$11,MATCH(Inventory!$B$9,Inventory!$B$8:$B$11,0),MATCH(Covenants!V38,Inventory!$B$8:$ZZ$8,0))</f>
        <v>5560</v>
      </c>
      <c r="X39" s="567">
        <f>INDEX(Inventory!$B$8:$ZZ$11,MATCH(Inventory!$B$9,Inventory!$B$8:$B$11,0),MATCH(Covenants!X38,Inventory!$B$8:$ZZ$8,0))+INDEX(Inventory!$B$8:$ZZ$11,MATCH(Inventory!$B$9,Inventory!$B$8:$B$11,0),MATCH(Covenants!W38,Inventory!$B$8:$ZZ$8,0))</f>
        <v>6030</v>
      </c>
      <c r="Y39" s="567">
        <f>INDEX(Inventory!$B$8:$ZZ$11,MATCH(Inventory!$B$9,Inventory!$B$8:$B$11,0),MATCH(Covenants!Y38,Inventory!$B$8:$ZZ$8,0))+INDEX(Inventory!$B$8:$ZZ$11,MATCH(Inventory!$B$9,Inventory!$B$8:$B$11,0),MATCH(Covenants!X38,Inventory!$B$8:$ZZ$8,0))</f>
        <v>5417</v>
      </c>
      <c r="Z39" s="567">
        <f>INDEX(Inventory!$B$8:$ZZ$11,MATCH(Inventory!$B$9,Inventory!$B$8:$B$11,0),MATCH(Covenants!Z38,Inventory!$B$8:$ZZ$8,0))+INDEX(Inventory!$B$8:$ZZ$11,MATCH(Inventory!$B$9,Inventory!$B$8:$B$11,0),MATCH(Covenants!Y38,Inventory!$B$8:$ZZ$8,0))</f>
        <v>5355</v>
      </c>
      <c r="AA39" s="567">
        <f>INDEX(Inventory!$B$8:$ZZ$11,MATCH(Inventory!$B$9,Inventory!$B$8:$B$11,0),MATCH(Covenants!AA38,Inventory!$B$8:$ZZ$8,0))+INDEX(Inventory!$B$8:$ZZ$11,MATCH(Inventory!$B$9,Inventory!$B$8:$B$11,0),MATCH(Covenants!Z38,Inventory!$B$8:$ZZ$8,0))</f>
        <v>5025</v>
      </c>
      <c r="AB39" s="567">
        <f>INDEX(Inventory!$B$8:$ZZ$11,MATCH(Inventory!$B$9,Inventory!$B$8:$B$11,0),MATCH(Covenants!AB38,Inventory!$B$8:$ZZ$8,0))+INDEX(Inventory!$B$8:$ZZ$11,MATCH(Inventory!$B$9,Inventory!$B$8:$B$11,0),MATCH(Covenants!AA38,Inventory!$B$8:$ZZ$8,0))</f>
        <v>4125</v>
      </c>
      <c r="AC39" s="567">
        <f>INDEX(Inventory!$B$8:$ZZ$11,MATCH(Inventory!$B$9,Inventory!$B$8:$B$11,0),MATCH(Covenants!AC38,Inventory!$B$8:$ZZ$8,0))+INDEX(Inventory!$B$8:$ZZ$11,MATCH(Inventory!$B$9,Inventory!$B$8:$B$11,0),MATCH(Covenants!AB38,Inventory!$B$8:$ZZ$8,0))</f>
        <v>3626</v>
      </c>
      <c r="AD39" s="567">
        <f>INDEX(Inventory!$B$8:$ZZ$11,MATCH(Inventory!$B$9,Inventory!$B$8:$B$11,0),MATCH(Covenants!AD38,Inventory!$B$8:$ZZ$8,0))+INDEX(Inventory!$B$8:$ZZ$11,MATCH(Inventory!$B$9,Inventory!$B$8:$B$11,0),MATCH(Covenants!AC38,Inventory!$B$8:$ZZ$8,0))</f>
        <v>3574</v>
      </c>
      <c r="AE39" s="567">
        <f>INDEX(Inventory!$B$8:$ZZ$11,MATCH(Inventory!$B$9,Inventory!$B$8:$B$11,0),MATCH(Covenants!AE38,Inventory!$B$8:$ZZ$8,0))+INDEX(Inventory!$B$8:$ZZ$11,MATCH(Inventory!$B$9,Inventory!$B$8:$B$11,0),MATCH(Covenants!AD38,Inventory!$B$8:$ZZ$8,0))</f>
        <v>2995</v>
      </c>
      <c r="AF39" s="567">
        <f>INDEX(Inventory!$B$8:$ZZ$11,MATCH(Inventory!$B$9,Inventory!$B$8:$B$11,0),MATCH(Covenants!AF38,Inventory!$B$8:$ZZ$8,0))+INDEX(Inventory!$B$8:$ZZ$11,MATCH(Inventory!$B$9,Inventory!$B$8:$B$11,0),MATCH(Covenants!AE38,Inventory!$B$8:$ZZ$8,0))</f>
        <v>1903.3333333333333</v>
      </c>
      <c r="AG39" s="567">
        <f>INDEX(Inventory!$B$8:$ZZ$11,MATCH(Inventory!$B$9,Inventory!$B$8:$B$11,0),MATCH(Covenants!AG38,Inventory!$B$8:$ZZ$8,0))+INDEX(Inventory!$B$8:$ZZ$11,MATCH(Inventory!$B$9,Inventory!$B$8:$B$11,0),MATCH(Covenants!AF38,Inventory!$B$8:$ZZ$8,0))</f>
        <v>1073.3333333333333</v>
      </c>
      <c r="AH39" s="567">
        <f>INDEX(Inventory!$B$8:$ZZ$11,MATCH(Inventory!$B$9,Inventory!$B$8:$B$11,0),MATCH(Covenants!AH38,Inventory!$B$8:$ZZ$8,0))+INDEX(Inventory!$B$8:$ZZ$11,MATCH(Inventory!$B$9,Inventory!$B$8:$B$11,0),MATCH(Covenants!AG38,Inventory!$B$8:$ZZ$8,0))</f>
        <v>1201.6666666666665</v>
      </c>
      <c r="AI39" s="567">
        <f>INDEX(Inventory!$B$8:$ZZ$11,MATCH(Inventory!$B$9,Inventory!$B$8:$B$11,0),MATCH(Covenants!AI38,Inventory!$B$8:$ZZ$8,0))+INDEX(Inventory!$B$8:$ZZ$11,MATCH(Inventory!$B$9,Inventory!$B$8:$B$11,0),MATCH(Covenants!AH38,Inventory!$B$8:$ZZ$8,0))</f>
        <v>1169.6666666666665</v>
      </c>
      <c r="AJ39" s="567">
        <f>INDEX(Inventory!$B$8:$ZZ$11,MATCH(Inventory!$B$9,Inventory!$B$8:$B$11,0),MATCH(Covenants!AJ38,Inventory!$B$8:$ZZ$8,0))+INDEX(Inventory!$B$8:$ZZ$11,MATCH(Inventory!$B$9,Inventory!$B$8:$B$11,0),MATCH(Covenants!AI38,Inventory!$B$8:$ZZ$8,0))</f>
        <v>947</v>
      </c>
      <c r="AK39" s="519">
        <v>3124</v>
      </c>
      <c r="AL39" s="519">
        <v>4064</v>
      </c>
      <c r="AM39" s="519">
        <v>3985</v>
      </c>
      <c r="AN39" s="519"/>
      <c r="AO39" s="519"/>
      <c r="AP39" s="519"/>
      <c r="AQ39" s="519"/>
      <c r="AR39" s="519"/>
      <c r="AS39" s="519"/>
      <c r="AT39" s="519"/>
      <c r="AU39" s="519"/>
      <c r="AV39" s="519"/>
      <c r="AW39" s="519"/>
      <c r="AX39" s="519"/>
      <c r="AY39" s="519"/>
      <c r="AZ39" s="519"/>
      <c r="BA39" s="519"/>
      <c r="BB39" s="519"/>
    </row>
    <row r="40" spans="2:54" s="401" customFormat="1" hidden="1">
      <c r="B40" s="401" t="s">
        <v>268</v>
      </c>
      <c r="E40" s="401">
        <f>INDEX(Inventory!$B$19:$ZZ$28,MATCH(Inventory!$B$25,Inventory!$B$19:$B$28,0),MATCH(Covenants!E38,Inventory!$B$19:$ZZ$19,0))+INDEX(Inventory!$B$19:$ZZ$28,MATCH(Inventory!$B$26,Inventory!$B$19:$B$28,0),MATCH(Covenants!E38,Inventory!$B$19:$ZZ$19,0))</f>
        <v>0</v>
      </c>
      <c r="F40" s="401">
        <f>INDEX(Inventory!$B$19:$ZZ$28,MATCH(Inventory!$B$25,Inventory!$B$19:$B$28,0),MATCH(Covenants!F38,Inventory!$B$19:$ZZ$19,0))+INDEX(Inventory!$B$19:$ZZ$28,MATCH(Inventory!$B$26,Inventory!$B$19:$B$28,0),MATCH(Covenants!F38,Inventory!$B$19:$ZZ$19,0))</f>
        <v>0</v>
      </c>
      <c r="G40" s="401">
        <f>INDEX(Inventory!$B$19:$ZZ$28,MATCH(Inventory!$B$25,Inventory!$B$19:$B$28,0),MATCH(Covenants!G38,Inventory!$B$19:$ZZ$19,0))+INDEX(Inventory!$B$19:$ZZ$28,MATCH(Inventory!$B$26,Inventory!$B$19:$B$28,0),MATCH(Covenants!G38,Inventory!$B$19:$ZZ$19,0))</f>
        <v>0</v>
      </c>
      <c r="H40" s="401">
        <f>INDEX(Inventory!$B$19:$ZZ$28,MATCH(Inventory!$B$25,Inventory!$B$19:$B$28,0),MATCH(Covenants!H38,Inventory!$B$19:$ZZ$19,0))+INDEX(Inventory!$B$19:$ZZ$28,MATCH(Inventory!$B$26,Inventory!$B$19:$B$28,0),MATCH(Covenants!H38,Inventory!$B$19:$ZZ$19,0))</f>
        <v>0</v>
      </c>
      <c r="I40" s="401">
        <f>INDEX(Inventory!$B$19:$ZZ$28,MATCH(Inventory!$B$25,Inventory!$B$19:$B$28,0),MATCH(Covenants!I38,Inventory!$B$19:$ZZ$19,0))+INDEX(Inventory!$B$19:$ZZ$28,MATCH(Inventory!$B$26,Inventory!$B$19:$B$28,0),MATCH(Covenants!I38,Inventory!$B$19:$ZZ$19,0))</f>
        <v>0</v>
      </c>
      <c r="J40" s="401">
        <f>INDEX(Inventory!$B$19:$ZZ$28,MATCH(Inventory!$B$25,Inventory!$B$19:$B$28,0),MATCH(Covenants!J38,Inventory!$B$19:$ZZ$19,0))+INDEX(Inventory!$B$19:$ZZ$28,MATCH(Inventory!$B$26,Inventory!$B$19:$B$28,0),MATCH(Covenants!J38,Inventory!$B$19:$ZZ$19,0))</f>
        <v>0</v>
      </c>
      <c r="K40" s="401">
        <f>INDEX(Inventory!$B$19:$ZZ$28,MATCH(Inventory!$B$25,Inventory!$B$19:$B$28,0),MATCH(Covenants!K38,Inventory!$B$19:$ZZ$19,0))+INDEX(Inventory!$B$19:$ZZ$28,MATCH(Inventory!$B$26,Inventory!$B$19:$B$28,0),MATCH(Covenants!K38,Inventory!$B$19:$ZZ$19,0))</f>
        <v>0</v>
      </c>
      <c r="L40" s="401">
        <f>INDEX(Inventory!$B$19:$ZZ$28,MATCH(Inventory!$B$25,Inventory!$B$19:$B$28,0),MATCH(Covenants!L38,Inventory!$B$19:$ZZ$19,0))+INDEX(Inventory!$B$19:$ZZ$28,MATCH(Inventory!$B$26,Inventory!$B$19:$B$28,0),MATCH(Covenants!L38,Inventory!$B$19:$ZZ$19,0))</f>
        <v>0</v>
      </c>
      <c r="M40" s="401">
        <f>INDEX(Inventory!$B$19:$ZZ$28,MATCH(Inventory!$B$25,Inventory!$B$19:$B$28,0),MATCH(Covenants!M38,Inventory!$B$19:$ZZ$19,0))+INDEX(Inventory!$B$19:$ZZ$28,MATCH(Inventory!$B$26,Inventory!$B$19:$B$28,0),MATCH(Covenants!M38,Inventory!$B$19:$ZZ$19,0))</f>
        <v>0</v>
      </c>
      <c r="N40" s="401">
        <f>INDEX(Inventory!$B$19:$ZZ$28,MATCH(Inventory!$B$25,Inventory!$B$19:$B$28,0),MATCH(Covenants!N38,Inventory!$B$19:$ZZ$19,0))+INDEX(Inventory!$B$19:$ZZ$28,MATCH(Inventory!$B$26,Inventory!$B$19:$B$28,0),MATCH(Covenants!N38,Inventory!$B$19:$ZZ$19,0))</f>
        <v>0</v>
      </c>
      <c r="O40" s="401">
        <f>INDEX(Inventory!$B$19:$ZZ$28,MATCH(Inventory!$B$25,Inventory!$B$19:$B$28,0),MATCH(Covenants!O38,Inventory!$B$19:$ZZ$19,0))+INDEX(Inventory!$B$19:$ZZ$28,MATCH(Inventory!$B$26,Inventory!$B$19:$B$28,0),MATCH(Covenants!O38,Inventory!$B$19:$ZZ$19,0))</f>
        <v>0</v>
      </c>
      <c r="P40" s="401">
        <f>INDEX(Inventory!$B$19:$ZZ$28,MATCH(Inventory!$B$25,Inventory!$B$19:$B$28,0),MATCH(Covenants!P38,Inventory!$B$19:$ZZ$19,0))+INDEX(Inventory!$B$19:$ZZ$28,MATCH(Inventory!$B$26,Inventory!$B$19:$B$28,0),MATCH(Covenants!P38,Inventory!$B$19:$ZZ$19,0))</f>
        <v>0</v>
      </c>
      <c r="Q40" s="401">
        <f>INDEX(Inventory!$B$19:$ZZ$28,MATCH(Inventory!$B$25,Inventory!$B$19:$B$28,0),MATCH(Covenants!Q38,Inventory!$B$19:$ZZ$19,0))+INDEX(Inventory!$B$19:$ZZ$28,MATCH(Inventory!$B$26,Inventory!$B$19:$B$28,0),MATCH(Covenants!Q38,Inventory!$B$19:$ZZ$19,0))</f>
        <v>0</v>
      </c>
      <c r="R40" s="401">
        <f>INDEX(Inventory!$B$19:$ZZ$28,MATCH(Inventory!$B$25,Inventory!$B$19:$B$28,0),MATCH(Covenants!R38,Inventory!$B$19:$ZZ$19,0))+INDEX(Inventory!$B$19:$ZZ$28,MATCH(Inventory!$B$26,Inventory!$B$19:$B$28,0),MATCH(Covenants!R38,Inventory!$B$19:$ZZ$19,0))</f>
        <v>0</v>
      </c>
      <c r="S40" s="401">
        <f>INDEX(Inventory!$B$19:$ZZ$28,MATCH(Inventory!$B$25,Inventory!$B$19:$B$28,0),MATCH(Covenants!S38,Inventory!$B$19:$ZZ$19,0))+INDEX(Inventory!$B$19:$ZZ$28,MATCH(Inventory!$B$26,Inventory!$B$19:$B$28,0),MATCH(Covenants!S38,Inventory!$B$19:$ZZ$19,0))</f>
        <v>0</v>
      </c>
      <c r="T40" s="401">
        <f>INDEX(Inventory!$B$19:$ZZ$28,MATCH(Inventory!$B$25,Inventory!$B$19:$B$28,0),MATCH(Covenants!T38,Inventory!$B$19:$ZZ$19,0))+INDEX(Inventory!$B$19:$ZZ$28,MATCH(Inventory!$B$26,Inventory!$B$19:$B$28,0),MATCH(Covenants!T38,Inventory!$B$19:$ZZ$19,0))</f>
        <v>0</v>
      </c>
      <c r="U40" s="401">
        <f>INDEX(Inventory!$B$19:$ZZ$28,MATCH(Inventory!$B$25,Inventory!$B$19:$B$28,0),MATCH(Covenants!U38,Inventory!$B$19:$ZZ$19,0))+INDEX(Inventory!$B$19:$ZZ$28,MATCH(Inventory!$B$26,Inventory!$B$19:$B$28,0),MATCH(Covenants!U38,Inventory!$B$19:$ZZ$19,0))</f>
        <v>0</v>
      </c>
      <c r="V40" s="401">
        <f>INDEX(Inventory!$B$19:$ZZ$28,MATCH(Inventory!$B$25,Inventory!$B$19:$B$28,0),MATCH(Covenants!V38,Inventory!$B$19:$ZZ$19,0))+INDEX(Inventory!$B$19:$ZZ$28,MATCH(Inventory!$B$26,Inventory!$B$19:$B$28,0),MATCH(Covenants!V38,Inventory!$B$19:$ZZ$19,0))</f>
        <v>0</v>
      </c>
      <c r="W40" s="401">
        <f>INDEX(Inventory!$B$19:$ZZ$28,MATCH(Inventory!$B$25,Inventory!$B$19:$B$28,0),MATCH(Covenants!W38,Inventory!$B$19:$ZZ$19,0))+INDEX(Inventory!$B$19:$ZZ$28,MATCH(Inventory!$B$26,Inventory!$B$19:$B$28,0),MATCH(Covenants!W38,Inventory!$B$19:$ZZ$19,0))</f>
        <v>0</v>
      </c>
      <c r="X40" s="401">
        <f>INDEX(Inventory!$B$19:$ZZ$28,MATCH(Inventory!$B$25,Inventory!$B$19:$B$28,0),MATCH(Covenants!X38,Inventory!$B$19:$ZZ$19,0))+INDEX(Inventory!$B$19:$ZZ$28,MATCH(Inventory!$B$26,Inventory!$B$19:$B$28,0),MATCH(Covenants!X38,Inventory!$B$19:$ZZ$19,0))</f>
        <v>0</v>
      </c>
      <c r="Y40" s="401">
        <f>INDEX(Inventory!$B$19:$ZZ$28,MATCH(Inventory!$B$25,Inventory!$B$19:$B$28,0),MATCH(Covenants!Y38,Inventory!$B$19:$ZZ$19,0))+INDEX(Inventory!$B$19:$ZZ$28,MATCH(Inventory!$B$26,Inventory!$B$19:$B$28,0),MATCH(Covenants!Y38,Inventory!$B$19:$ZZ$19,0))</f>
        <v>1318</v>
      </c>
      <c r="Z40" s="401">
        <f>INDEX(Inventory!$B$19:$ZZ$28,MATCH(Inventory!$B$25,Inventory!$B$19:$B$28,0),MATCH(Covenants!Z38,Inventory!$B$19:$ZZ$19,0))+INDEX(Inventory!$B$19:$ZZ$28,MATCH(Inventory!$B$26,Inventory!$B$19:$B$28,0),MATCH(Covenants!Z38,Inventory!$B$19:$ZZ$19,0))</f>
        <v>2053</v>
      </c>
      <c r="AA40" s="401">
        <f>INDEX(Inventory!$B$19:$ZZ$28,MATCH(Inventory!$B$25,Inventory!$B$19:$B$28,0),MATCH(Covenants!AA38,Inventory!$B$19:$ZZ$19,0))+INDEX(Inventory!$B$19:$ZZ$28,MATCH(Inventory!$B$26,Inventory!$B$19:$B$28,0),MATCH(Covenants!AA38,Inventory!$B$19:$ZZ$19,0))</f>
        <v>2208</v>
      </c>
      <c r="AB40" s="401">
        <f>INDEX(Inventory!$B$19:$ZZ$28,MATCH(Inventory!$B$25,Inventory!$B$19:$B$28,0),MATCH(Covenants!AB38,Inventory!$B$19:$ZZ$19,0))+INDEX(Inventory!$B$19:$ZZ$28,MATCH(Inventory!$B$26,Inventory!$B$19:$B$28,0),MATCH(Covenants!AB38,Inventory!$B$19:$ZZ$19,0))</f>
        <v>2297</v>
      </c>
      <c r="AC40" s="401">
        <f>INDEX(Inventory!$B$19:$ZZ$28,MATCH(Inventory!$B$25,Inventory!$B$19:$B$28,0),MATCH(Covenants!AC38,Inventory!$B$19:$ZZ$19,0))+INDEX(Inventory!$B$19:$ZZ$28,MATCH(Inventory!$B$26,Inventory!$B$19:$B$28,0),MATCH(Covenants!AC38,Inventory!$B$19:$ZZ$19,0))</f>
        <v>3625</v>
      </c>
      <c r="AD40" s="401">
        <f>INDEX(Inventory!$B$19:$ZZ$28,MATCH(Inventory!$B$25,Inventory!$B$19:$B$28,0),MATCH(Covenants!AD38,Inventory!$B$19:$ZZ$19,0))+INDEX(Inventory!$B$19:$ZZ$28,MATCH(Inventory!$B$26,Inventory!$B$19:$B$28,0),MATCH(Covenants!AD38,Inventory!$B$19:$ZZ$19,0))</f>
        <v>2874</v>
      </c>
      <c r="AE40" s="401">
        <f>INDEX(Inventory!$B$19:$ZZ$28,MATCH(Inventory!$B$25,Inventory!$B$19:$B$28,0),MATCH(Covenants!AE38,Inventory!$B$19:$ZZ$19,0))+INDEX(Inventory!$B$19:$ZZ$28,MATCH(Inventory!$B$26,Inventory!$B$19:$B$28,0),MATCH(Covenants!AE38,Inventory!$B$19:$ZZ$19,0))</f>
        <v>2554</v>
      </c>
      <c r="AF40" s="401">
        <f>INDEX(Inventory!$B$19:$ZZ$28,MATCH(Inventory!$B$25,Inventory!$B$19:$B$28,0),MATCH(Covenants!AF38,Inventory!$B$19:$ZZ$19,0))+INDEX(Inventory!$B$19:$ZZ$28,MATCH(Inventory!$B$26,Inventory!$B$19:$B$28,0),MATCH(Covenants!AF38,Inventory!$B$19:$ZZ$19,0))</f>
        <v>2090</v>
      </c>
      <c r="AG40" s="401">
        <f>INDEX(Inventory!$B$19:$ZZ$28,MATCH(Inventory!$B$25,Inventory!$B$19:$B$28,0),MATCH(Covenants!AG38,Inventory!$B$19:$ZZ$19,0))+INDEX(Inventory!$B$19:$ZZ$28,MATCH(Inventory!$B$26,Inventory!$B$19:$B$28,0),MATCH(Covenants!AG38,Inventory!$B$19:$ZZ$19,0))</f>
        <v>2524</v>
      </c>
      <c r="AH40" s="401">
        <f>INDEX(Inventory!$B$19:$ZZ$28,MATCH(Inventory!$B$25,Inventory!$B$19:$B$28,0),MATCH(Covenants!AH38,Inventory!$B$19:$ZZ$19,0))+INDEX(Inventory!$B$19:$ZZ$28,MATCH(Inventory!$B$26,Inventory!$B$19:$B$28,0),MATCH(Covenants!AH38,Inventory!$B$19:$ZZ$19,0))</f>
        <v>3168</v>
      </c>
      <c r="AI40" s="401">
        <f>INDEX(Inventory!$B$19:$ZZ$28,MATCH(Inventory!$B$25,Inventory!$B$19:$B$28,0),MATCH(Covenants!AI38,Inventory!$B$19:$ZZ$19,0))+INDEX(Inventory!$B$19:$ZZ$28,MATCH(Inventory!$B$26,Inventory!$B$19:$B$28,0),MATCH(Covenants!AI38,Inventory!$B$19:$ZZ$19,0))</f>
        <v>3068</v>
      </c>
      <c r="AJ40" s="401">
        <f>INDEX(Inventory!$B$19:$ZZ$28,MATCH(Inventory!$B$25,Inventory!$B$19:$B$28,0),MATCH(Covenants!AJ38,Inventory!$B$19:$ZZ$19,0))+INDEX(Inventory!$B$19:$ZZ$28,MATCH(Inventory!$B$26,Inventory!$B$19:$B$28,0),MATCH(Covenants!AJ38,Inventory!$B$19:$ZZ$19,0))</f>
        <v>3223</v>
      </c>
      <c r="AK40" s="401">
        <f>INDEX(Inventory!$B$19:$ZZ$28,MATCH(Inventory!$B$25,Inventory!$B$19:$B$28,0),MATCH(Covenants!AK38,Inventory!$B$19:$ZZ$19,0))+INDEX(Inventory!$B$19:$ZZ$28,MATCH(Inventory!$B$26,Inventory!$B$19:$B$28,0),MATCH(Covenants!AK38,Inventory!$B$19:$ZZ$19,0))</f>
        <v>3046</v>
      </c>
      <c r="AL40" s="401">
        <f>INDEX(Inventory!$B$19:$ZZ$28,MATCH(Inventory!$B$25,Inventory!$B$19:$B$28,0),MATCH(Covenants!AL38,Inventory!$B$19:$ZZ$19,0))+INDEX(Inventory!$B$19:$ZZ$28,MATCH(Inventory!$B$26,Inventory!$B$19:$B$28,0),MATCH(Covenants!AL38,Inventory!$B$19:$ZZ$19,0))</f>
        <v>1140</v>
      </c>
      <c r="AM40" s="401">
        <f>INDEX(Inventory!$B$19:$ZZ$28,MATCH(Inventory!$B$25,Inventory!$B$19:$B$28,0),MATCH(Covenants!AM38,Inventory!$B$19:$ZZ$19,0))+INDEX(Inventory!$B$19:$ZZ$28,MATCH(Inventory!$B$26,Inventory!$B$19:$B$28,0),MATCH(Covenants!AM38,Inventory!$B$19:$ZZ$19,0))</f>
        <v>1493</v>
      </c>
      <c r="AN40" s="401">
        <f>INDEX(Inventory!$B$19:$ZZ$28,MATCH(Inventory!$B$25,Inventory!$B$19:$B$28,0),MATCH(Covenants!AN38,Inventory!$B$19:$ZZ$19,0))+INDEX(Inventory!$B$19:$ZZ$28,MATCH(Inventory!$B$26,Inventory!$B$19:$B$28,0),MATCH(Covenants!AN38,Inventory!$B$19:$ZZ$19,0))</f>
        <v>1657</v>
      </c>
      <c r="AO40" s="401">
        <f>INDEX(Inventory!$B$19:$ZZ$28,MATCH(Inventory!$B$25,Inventory!$B$19:$B$28,0),MATCH(Covenants!AO38,Inventory!$B$19:$ZZ$19,0))+INDEX(Inventory!$B$19:$ZZ$28,MATCH(Inventory!$B$26,Inventory!$B$19:$B$28,0),MATCH(Covenants!AO38,Inventory!$B$19:$ZZ$19,0))</f>
        <v>1647</v>
      </c>
      <c r="AP40" s="401">
        <f>INDEX(Inventory!$B$19:$ZZ$28,MATCH(Inventory!$B$25,Inventory!$B$19:$B$28,0),MATCH(Covenants!AP38,Inventory!$B$19:$ZZ$19,0))+INDEX(Inventory!$B$19:$ZZ$28,MATCH(Inventory!$B$26,Inventory!$B$19:$B$28,0),MATCH(Covenants!AP38,Inventory!$B$19:$ZZ$19,0))</f>
        <v>2936</v>
      </c>
      <c r="AQ40" s="401">
        <f>INDEX(Inventory!$B$19:$ZZ$28,MATCH(Inventory!$B$25,Inventory!$B$19:$B$28,0),MATCH(Covenants!AQ38,Inventory!$B$19:$ZZ$19,0))+INDEX(Inventory!$B$19:$ZZ$28,MATCH(Inventory!$B$26,Inventory!$B$19:$B$28,0),MATCH(Covenants!AQ38,Inventory!$B$19:$ZZ$19,0))</f>
        <v>464.66666666666669</v>
      </c>
      <c r="AR40" s="401">
        <f>INDEX(Inventory!$B$19:$ZZ$28,MATCH(Inventory!$B$25,Inventory!$B$19:$B$28,0),MATCH(Covenants!AR38,Inventory!$B$19:$ZZ$19,0))+INDEX(Inventory!$B$19:$ZZ$28,MATCH(Inventory!$B$26,Inventory!$B$19:$B$28,0),MATCH(Covenants!AR38,Inventory!$B$19:$ZZ$19,0))</f>
        <v>1819.6666666666667</v>
      </c>
      <c r="AS40" s="401" t="e">
        <f>INDEX(Inventory!$B$19:$ZZ$28,MATCH(Inventory!$B$25,Inventory!$B$19:$B$28,0),MATCH(Covenants!AS38,Inventory!$B$19:$ZZ$19,0))+INDEX(Inventory!$B$19:$ZZ$28,MATCH(Inventory!$B$26,Inventory!$B$19:$B$28,0),MATCH(Covenants!AS38,Inventory!$B$19:$ZZ$19,0))</f>
        <v>#N/A</v>
      </c>
      <c r="AT40" s="401" t="e">
        <f>INDEX(Inventory!$B$19:$ZZ$28,MATCH(Inventory!$B$25,Inventory!$B$19:$B$28,0),MATCH(Covenants!AT38,Inventory!$B$19:$ZZ$19,0))+INDEX(Inventory!$B$19:$ZZ$28,MATCH(Inventory!$B$26,Inventory!$B$19:$B$28,0),MATCH(Covenants!AT38,Inventory!$B$19:$ZZ$19,0))</f>
        <v>#N/A</v>
      </c>
      <c r="AU40" s="401" t="e">
        <f>INDEX(Inventory!$B$19:$ZZ$28,MATCH(Inventory!$B$25,Inventory!$B$19:$B$28,0),MATCH(Covenants!AU38,Inventory!$B$19:$ZZ$19,0))+INDEX(Inventory!$B$19:$ZZ$28,MATCH(Inventory!$B$26,Inventory!$B$19:$B$28,0),MATCH(Covenants!AU38,Inventory!$B$19:$ZZ$19,0))</f>
        <v>#N/A</v>
      </c>
      <c r="AV40" s="401" t="e">
        <f>INDEX(Inventory!$B$19:$ZZ$28,MATCH(Inventory!$B$25,Inventory!$B$19:$B$28,0),MATCH(Covenants!AV38,Inventory!$B$19:$ZZ$19,0))+INDEX(Inventory!$B$19:$ZZ$28,MATCH(Inventory!$B$26,Inventory!$B$19:$B$28,0),MATCH(Covenants!AV38,Inventory!$B$19:$ZZ$19,0))</f>
        <v>#N/A</v>
      </c>
      <c r="AW40" s="401" t="e">
        <f>INDEX(Inventory!$B$19:$ZZ$28,MATCH(Inventory!$B$25,Inventory!$B$19:$B$28,0),MATCH(Covenants!AW38,Inventory!$B$19:$ZZ$19,0))+INDEX(Inventory!$B$19:$ZZ$28,MATCH(Inventory!$B$26,Inventory!$B$19:$B$28,0),MATCH(Covenants!AW38,Inventory!$B$19:$ZZ$19,0))</f>
        <v>#N/A</v>
      </c>
      <c r="AX40" s="401" t="e">
        <f>INDEX(Inventory!$B$19:$ZZ$28,MATCH(Inventory!$B$25,Inventory!$B$19:$B$28,0),MATCH(Covenants!AX38,Inventory!$B$19:$ZZ$19,0))+INDEX(Inventory!$B$19:$ZZ$28,MATCH(Inventory!$B$26,Inventory!$B$19:$B$28,0),MATCH(Covenants!AX38,Inventory!$B$19:$ZZ$19,0))</f>
        <v>#N/A</v>
      </c>
      <c r="AY40" s="401" t="e">
        <f>INDEX(Inventory!$B$19:$ZZ$28,MATCH(Inventory!$B$25,Inventory!$B$19:$B$28,0),MATCH(Covenants!AY38,Inventory!$B$19:$ZZ$19,0))+INDEX(Inventory!$B$19:$ZZ$28,MATCH(Inventory!$B$26,Inventory!$B$19:$B$28,0),MATCH(Covenants!AY38,Inventory!$B$19:$ZZ$19,0))</f>
        <v>#N/A</v>
      </c>
      <c r="AZ40" s="401" t="e">
        <f>INDEX(Inventory!$B$19:$ZZ$28,MATCH(Inventory!$B$25,Inventory!$B$19:$B$28,0),MATCH(Covenants!AZ38,Inventory!$B$19:$ZZ$19,0))+INDEX(Inventory!$B$19:$ZZ$28,MATCH(Inventory!$B$26,Inventory!$B$19:$B$28,0),MATCH(Covenants!AZ38,Inventory!$B$19:$ZZ$19,0))</f>
        <v>#N/A</v>
      </c>
      <c r="BA40" s="401" t="e">
        <f>INDEX(Inventory!$B$19:$ZZ$28,MATCH(Inventory!$B$25,Inventory!$B$19:$B$28,0),MATCH(Covenants!BA38,Inventory!$B$19:$ZZ$19,0))+INDEX(Inventory!$B$19:$ZZ$28,MATCH(Inventory!$B$26,Inventory!$B$19:$B$28,0),MATCH(Covenants!BA38,Inventory!$B$19:$ZZ$19,0))</f>
        <v>#N/A</v>
      </c>
      <c r="BB40" s="401" t="e">
        <f>INDEX(Inventory!$B$19:$ZZ$28,MATCH(Inventory!$B$25,Inventory!$B$19:$B$28,0),MATCH(Covenants!BB38,Inventory!$B$19:$ZZ$19,0))+INDEX(Inventory!$B$19:$ZZ$28,MATCH(Inventory!$B$26,Inventory!$B$19:$B$28,0),MATCH(Covenants!BB38,Inventory!$B$19:$ZZ$19,0))</f>
        <v>#N/A</v>
      </c>
    </row>
    <row r="41" spans="2:54" hidden="1">
      <c r="B41" s="105" t="s">
        <v>129</v>
      </c>
      <c r="C41" s="172">
        <v>0</v>
      </c>
      <c r="D41" s="172">
        <v>0</v>
      </c>
      <c r="E41" s="167">
        <f>INDEX(Inventory!$B$8:$ZZ$11,MATCH(Inventory!$B$9,Inventory!$B$8:$B$11,0),MATCH(E38,Inventory!$B$8:$ZZ$8,0))+INDEX(Inventory!$B$8:$ZZ$11,MATCH(Inventory!$B$9,Inventory!$B$8:$B$11,0),MATCH(D38,Inventory!$B$8:$ZZ$8,0))</f>
        <v>1972</v>
      </c>
      <c r="F41" s="167">
        <f>INDEX(Inventory!$B$8:$ZZ$11,MATCH(Inventory!$B$9,Inventory!$B$8:$B$11,0),MATCH(F38,Inventory!$B$8:$ZZ$8,0))+INDEX(Inventory!$B$8:$ZZ$11,MATCH(Inventory!$B$9,Inventory!$B$8:$B$11,0),MATCH(E38,Inventory!$B$8:$ZZ$8,0))</f>
        <v>1469</v>
      </c>
      <c r="G41" s="167">
        <f>INDEX(Inventory!$B$8:$ZZ$11,MATCH(Inventory!$B$9,Inventory!$B$8:$B$11,0),MATCH(G38,Inventory!$B$8:$ZZ$8,0))+INDEX(Inventory!$B$8:$ZZ$11,MATCH(Inventory!$B$9,Inventory!$B$8:$B$11,0),MATCH(F38,Inventory!$B$8:$ZZ$8,0))</f>
        <v>721</v>
      </c>
      <c r="H41" s="167">
        <f>INDEX(Inventory!$B$8:$ZZ$11,MATCH(Inventory!$B$9,Inventory!$B$8:$B$11,0),MATCH(H38,Inventory!$B$8:$ZZ$8,0))+INDEX(Inventory!$B$8:$ZZ$11,MATCH(Inventory!$B$9,Inventory!$B$8:$B$11,0),MATCH(G38,Inventory!$B$8:$ZZ$8,0))</f>
        <v>1224</v>
      </c>
      <c r="I41" s="167">
        <f>INDEX(Inventory!$B$8:$ZZ$11,MATCH(Inventory!$B$9,Inventory!$B$8:$B$11,0),MATCH(I38,Inventory!$B$8:$ZZ$8,0))+INDEX(Inventory!$B$8:$ZZ$11,MATCH(Inventory!$B$9,Inventory!$B$8:$B$11,0),MATCH(H38,Inventory!$B$8:$ZZ$8,0))</f>
        <v>2272</v>
      </c>
      <c r="J41" s="167">
        <f>INDEX(Inventory!$B$8:$ZZ$11,MATCH(Inventory!$B$9,Inventory!$B$8:$B$11,0),MATCH(J38,Inventory!$B$8:$ZZ$8,0))+INDEX(Inventory!$B$8:$ZZ$11,MATCH(Inventory!$B$9,Inventory!$B$8:$B$11,0),MATCH(I38,Inventory!$B$8:$ZZ$8,0))</f>
        <v>3157</v>
      </c>
      <c r="K41" s="167">
        <f>INDEX(Inventory!$B$8:$ZZ$11,MATCH(Inventory!$B$9,Inventory!$B$8:$B$11,0),MATCH(K38,Inventory!$B$8:$ZZ$8,0))+INDEX(Inventory!$B$8:$ZZ$11,MATCH(Inventory!$B$9,Inventory!$B$8:$B$11,0),MATCH(J38,Inventory!$B$8:$ZZ$8,0))</f>
        <v>3387</v>
      </c>
      <c r="L41" s="167">
        <f>INDEX(Inventory!$B$8:$ZZ$11,MATCH(Inventory!$B$9,Inventory!$B$8:$B$11,0),MATCH(L38,Inventory!$B$8:$ZZ$8,0))+INDEX(Inventory!$B$8:$ZZ$11,MATCH(Inventory!$B$9,Inventory!$B$8:$B$11,0),MATCH(K38,Inventory!$B$8:$ZZ$8,0))</f>
        <v>2902</v>
      </c>
      <c r="M41" s="167">
        <f>INDEX(Inventory!$B$8:$ZZ$11,MATCH(Inventory!$B$9,Inventory!$B$8:$B$11,0),MATCH(M38,Inventory!$B$8:$ZZ$8,0))+INDEX(Inventory!$B$8:$ZZ$11,MATCH(Inventory!$B$9,Inventory!$B$8:$B$11,0),MATCH(L38,Inventory!$B$8:$ZZ$8,0))</f>
        <v>3059</v>
      </c>
      <c r="N41" s="167">
        <f>INDEX(Inventory!$B$8:$ZZ$11,MATCH(Inventory!$B$9,Inventory!$B$8:$B$11,0),MATCH(N38,Inventory!$B$8:$ZZ$8,0))+INDEX(Inventory!$B$8:$ZZ$11,MATCH(Inventory!$B$9,Inventory!$B$8:$B$11,0),MATCH(M38,Inventory!$B$8:$ZZ$8,0))</f>
        <v>3544</v>
      </c>
      <c r="O41" s="167">
        <f>INDEX(Inventory!$B$8:$ZZ$11,MATCH(Inventory!$B$9,Inventory!$B$8:$B$11,0),MATCH(O38,Inventory!$B$8:$ZZ$8,0))+INDEX(Inventory!$B$8:$ZZ$11,MATCH(Inventory!$B$9,Inventory!$B$8:$B$11,0),MATCH(N38,Inventory!$B$8:$ZZ$8,0))</f>
        <v>3453</v>
      </c>
      <c r="P41" s="167">
        <f>INDEX(Inventory!$B$8:$ZZ$11,MATCH(Inventory!$B$9,Inventory!$B$8:$B$11,0),MATCH(P38,Inventory!$B$8:$ZZ$8,0))+INDEX(Inventory!$B$8:$ZZ$11,MATCH(Inventory!$B$9,Inventory!$B$8:$B$11,0),MATCH(O38,Inventory!$B$8:$ZZ$8,0))</f>
        <v>2952</v>
      </c>
      <c r="Q41" s="167">
        <f>INDEX(Inventory!$B$8:$ZZ$11,MATCH(Inventory!$B$9,Inventory!$B$8:$B$11,0),MATCH(Q38,Inventory!$B$8:$ZZ$8,0))+INDEX(Inventory!$B$8:$ZZ$11,MATCH(Inventory!$B$9,Inventory!$B$8:$B$11,0),MATCH(P38,Inventory!$B$8:$ZZ$8,0))</f>
        <v>3043</v>
      </c>
      <c r="R41" s="167">
        <f>INDEX(Inventory!$B$8:$ZZ$11,MATCH(Inventory!$B$9,Inventory!$B$8:$B$11,0),MATCH(R38,Inventory!$B$8:$ZZ$8,0))+INDEX(Inventory!$B$8:$ZZ$11,MATCH(Inventory!$B$9,Inventory!$B$8:$B$11,0),MATCH(Q38,Inventory!$B$8:$ZZ$8,0))</f>
        <v>3947</v>
      </c>
      <c r="S41" s="167">
        <f>INDEX(Inventory!$B$8:$ZZ$11,MATCH(Inventory!$B$9,Inventory!$B$8:$B$11,0),MATCH(S38,Inventory!$B$8:$ZZ$8,0))+INDEX(Inventory!$B$8:$ZZ$11,MATCH(Inventory!$B$9,Inventory!$B$8:$B$11,0),MATCH(R38,Inventory!$B$8:$ZZ$8,0))</f>
        <v>4647</v>
      </c>
      <c r="T41" s="167">
        <f>INDEX(Inventory!$B$8:$ZZ$11,MATCH(Inventory!$B$9,Inventory!$B$8:$B$11,0),MATCH(T38,Inventory!$B$8:$ZZ$8,0))+INDEX(Inventory!$B$8:$ZZ$11,MATCH(Inventory!$B$9,Inventory!$B$8:$B$11,0),MATCH(S38,Inventory!$B$8:$ZZ$8,0))</f>
        <v>4350</v>
      </c>
      <c r="U41" s="167">
        <f>INDEX(Inventory!$B$8:$ZZ$11,MATCH(Inventory!$B$9,Inventory!$B$8:$B$11,0),MATCH(U38,Inventory!$B$8:$ZZ$8,0))+INDEX(Inventory!$B$8:$ZZ$11,MATCH(Inventory!$B$9,Inventory!$B$8:$B$11,0),MATCH(T38,Inventory!$B$8:$ZZ$8,0))</f>
        <v>3779</v>
      </c>
      <c r="V41" s="167">
        <f>INDEX(Inventory!$B$8:$ZZ$11,MATCH(Inventory!$B$9,Inventory!$B$8:$B$11,0),MATCH(V38,Inventory!$B$8:$ZZ$8,0))+INDEX(Inventory!$B$8:$ZZ$11,MATCH(Inventory!$B$9,Inventory!$B$8:$B$11,0),MATCH(U38,Inventory!$B$8:$ZZ$8,0))</f>
        <v>4035</v>
      </c>
      <c r="W41" s="167">
        <f>INDEX(Inventory!$B$8:$ZZ$11,MATCH(Inventory!$B$9,Inventory!$B$8:$B$11,0),MATCH(W38,Inventory!$B$8:$ZZ$8,0))+INDEX(Inventory!$B$8:$ZZ$11,MATCH(Inventory!$B$9,Inventory!$B$8:$B$11,0),MATCH(V38,Inventory!$B$8:$ZZ$8,0))</f>
        <v>5560</v>
      </c>
      <c r="X41" s="167">
        <f>INDEX(Inventory!$B$8:$ZZ$11,MATCH(Inventory!$B$9,Inventory!$B$8:$B$11,0),MATCH(X38,Inventory!$B$8:$ZZ$8,0))+INDEX(Inventory!$B$8:$ZZ$11,MATCH(Inventory!$B$9,Inventory!$B$8:$B$11,0),MATCH(W38,Inventory!$B$8:$ZZ$8,0))</f>
        <v>6030</v>
      </c>
      <c r="Y41" s="167">
        <f t="shared" ref="Y41:AA41" si="271">Y39</f>
        <v>5417</v>
      </c>
      <c r="Z41" s="167">
        <f t="shared" si="271"/>
        <v>5355</v>
      </c>
      <c r="AA41" s="167">
        <f t="shared" si="271"/>
        <v>5025</v>
      </c>
      <c r="AB41" s="167">
        <f>AB39</f>
        <v>4125</v>
      </c>
      <c r="AC41" s="167">
        <f t="shared" ref="AC41:AP41" si="272">AC39</f>
        <v>3626</v>
      </c>
      <c r="AD41" s="167">
        <f t="shared" si="272"/>
        <v>3574</v>
      </c>
      <c r="AE41" s="167">
        <f t="shared" si="272"/>
        <v>2995</v>
      </c>
      <c r="AF41" s="659">
        <f t="shared" si="272"/>
        <v>1903.3333333333333</v>
      </c>
      <c r="AG41" s="659">
        <f t="shared" si="272"/>
        <v>1073.3333333333333</v>
      </c>
      <c r="AH41" s="659">
        <f t="shared" si="272"/>
        <v>1201.6666666666665</v>
      </c>
      <c r="AI41" s="659">
        <f t="shared" si="272"/>
        <v>1169.6666666666665</v>
      </c>
      <c r="AJ41" s="167">
        <f t="shared" si="272"/>
        <v>947</v>
      </c>
      <c r="AK41" s="167">
        <f t="shared" si="272"/>
        <v>3124</v>
      </c>
      <c r="AL41" s="167">
        <f t="shared" si="272"/>
        <v>4064</v>
      </c>
      <c r="AM41" s="167">
        <f t="shared" si="272"/>
        <v>3985</v>
      </c>
      <c r="AN41" s="167">
        <f t="shared" si="272"/>
        <v>0</v>
      </c>
      <c r="AO41" s="167">
        <f t="shared" si="272"/>
        <v>0</v>
      </c>
      <c r="AP41" s="167">
        <f t="shared" si="272"/>
        <v>0</v>
      </c>
      <c r="AQ41" s="167">
        <f t="shared" ref="AQ41:BB41" si="273">AQ39</f>
        <v>0</v>
      </c>
      <c r="AR41" s="167">
        <f t="shared" si="273"/>
        <v>0</v>
      </c>
      <c r="AS41" s="167">
        <f t="shared" si="273"/>
        <v>0</v>
      </c>
      <c r="AT41" s="167">
        <f t="shared" si="273"/>
        <v>0</v>
      </c>
      <c r="AU41" s="167">
        <f t="shared" si="273"/>
        <v>0</v>
      </c>
      <c r="AV41" s="167">
        <f t="shared" si="273"/>
        <v>0</v>
      </c>
      <c r="AW41" s="167">
        <f t="shared" si="273"/>
        <v>0</v>
      </c>
      <c r="AX41" s="167">
        <f t="shared" si="273"/>
        <v>0</v>
      </c>
      <c r="AY41" s="167">
        <f t="shared" si="273"/>
        <v>0</v>
      </c>
      <c r="AZ41" s="167">
        <f t="shared" si="273"/>
        <v>0</v>
      </c>
      <c r="BA41" s="167">
        <f t="shared" si="273"/>
        <v>0</v>
      </c>
      <c r="BB41" s="167">
        <f t="shared" si="273"/>
        <v>0</v>
      </c>
    </row>
    <row r="42" spans="2:54" ht="14.5" hidden="1">
      <c r="B42" s="106" t="s">
        <v>131</v>
      </c>
      <c r="C42" s="569">
        <f>C39-C41</f>
        <v>0</v>
      </c>
      <c r="D42" s="567">
        <f t="shared" ref="D42:Z42" si="274">D41-D40</f>
        <v>0</v>
      </c>
      <c r="E42" s="567">
        <f t="shared" si="274"/>
        <v>1972</v>
      </c>
      <c r="F42" s="567">
        <f t="shared" si="274"/>
        <v>1469</v>
      </c>
      <c r="G42" s="567">
        <f t="shared" si="274"/>
        <v>721</v>
      </c>
      <c r="H42" s="567">
        <f t="shared" si="274"/>
        <v>1224</v>
      </c>
      <c r="I42" s="567">
        <f t="shared" si="274"/>
        <v>2272</v>
      </c>
      <c r="J42" s="567">
        <f t="shared" si="274"/>
        <v>3157</v>
      </c>
      <c r="K42" s="567">
        <f t="shared" si="274"/>
        <v>3387</v>
      </c>
      <c r="L42" s="567">
        <f t="shared" si="274"/>
        <v>2902</v>
      </c>
      <c r="M42" s="567">
        <f t="shared" si="274"/>
        <v>3059</v>
      </c>
      <c r="N42" s="567">
        <f t="shared" si="274"/>
        <v>3544</v>
      </c>
      <c r="O42" s="567">
        <f t="shared" si="274"/>
        <v>3453</v>
      </c>
      <c r="P42" s="567">
        <f t="shared" si="274"/>
        <v>2952</v>
      </c>
      <c r="Q42" s="567">
        <f t="shared" si="274"/>
        <v>3043</v>
      </c>
      <c r="R42" s="567">
        <f t="shared" si="274"/>
        <v>3947</v>
      </c>
      <c r="S42" s="567">
        <f t="shared" si="274"/>
        <v>4647</v>
      </c>
      <c r="T42" s="567">
        <f t="shared" si="274"/>
        <v>4350</v>
      </c>
      <c r="U42" s="567">
        <f t="shared" si="274"/>
        <v>3779</v>
      </c>
      <c r="V42" s="567">
        <f t="shared" si="274"/>
        <v>4035</v>
      </c>
      <c r="W42" s="567">
        <f t="shared" si="274"/>
        <v>5560</v>
      </c>
      <c r="X42" s="567">
        <f t="shared" si="274"/>
        <v>6030</v>
      </c>
      <c r="Y42" s="567">
        <f t="shared" si="274"/>
        <v>4099</v>
      </c>
      <c r="Z42" s="567">
        <f t="shared" si="274"/>
        <v>3302</v>
      </c>
      <c r="AA42" s="567">
        <f>AA41-AA40</f>
        <v>2817</v>
      </c>
      <c r="AB42" s="567">
        <f t="shared" ref="AB42:AP42" si="275">AB41-AB40</f>
        <v>1828</v>
      </c>
      <c r="AC42" s="567">
        <f t="shared" si="275"/>
        <v>1</v>
      </c>
      <c r="AD42" s="567">
        <f t="shared" si="275"/>
        <v>700</v>
      </c>
      <c r="AE42" s="567">
        <f t="shared" si="275"/>
        <v>441</v>
      </c>
      <c r="AF42" s="567">
        <f t="shared" si="275"/>
        <v>-186.66666666666674</v>
      </c>
      <c r="AG42" s="567">
        <f t="shared" si="275"/>
        <v>-1450.6666666666667</v>
      </c>
      <c r="AH42" s="567">
        <f t="shared" si="275"/>
        <v>-1966.3333333333335</v>
      </c>
      <c r="AI42" s="567">
        <f t="shared" si="275"/>
        <v>-1898.3333333333335</v>
      </c>
      <c r="AJ42" s="567">
        <f t="shared" si="275"/>
        <v>-2276</v>
      </c>
      <c r="AK42" s="567">
        <f t="shared" si="275"/>
        <v>78</v>
      </c>
      <c r="AL42" s="567">
        <f t="shared" si="275"/>
        <v>2924</v>
      </c>
      <c r="AM42" s="567">
        <f t="shared" si="275"/>
        <v>2492</v>
      </c>
      <c r="AN42" s="567">
        <f t="shared" si="275"/>
        <v>-1657</v>
      </c>
      <c r="AO42" s="567">
        <f t="shared" si="275"/>
        <v>-1647</v>
      </c>
      <c r="AP42" s="567">
        <f t="shared" si="275"/>
        <v>-2936</v>
      </c>
      <c r="AQ42" s="567">
        <f t="shared" ref="AQ42:BB42" si="276">AQ41-AQ40</f>
        <v>-464.66666666666669</v>
      </c>
      <c r="AR42" s="567">
        <f t="shared" si="276"/>
        <v>-1819.6666666666667</v>
      </c>
      <c r="AS42" s="567" t="e">
        <f t="shared" si="276"/>
        <v>#N/A</v>
      </c>
      <c r="AT42" s="567" t="e">
        <f t="shared" si="276"/>
        <v>#N/A</v>
      </c>
      <c r="AU42" s="567" t="e">
        <f t="shared" si="276"/>
        <v>#N/A</v>
      </c>
      <c r="AV42" s="567" t="e">
        <f t="shared" si="276"/>
        <v>#N/A</v>
      </c>
      <c r="AW42" s="567" t="e">
        <f t="shared" si="276"/>
        <v>#N/A</v>
      </c>
      <c r="AX42" s="567" t="e">
        <f t="shared" si="276"/>
        <v>#N/A</v>
      </c>
      <c r="AY42" s="567" t="e">
        <f t="shared" si="276"/>
        <v>#N/A</v>
      </c>
      <c r="AZ42" s="567" t="e">
        <f t="shared" si="276"/>
        <v>#N/A</v>
      </c>
      <c r="BA42" s="567" t="e">
        <f t="shared" si="276"/>
        <v>#N/A</v>
      </c>
      <c r="BB42" s="567" t="e">
        <f t="shared" si="276"/>
        <v>#N/A</v>
      </c>
    </row>
    <row r="43" spans="2:54" ht="14.5" hidden="1">
      <c r="B43" s="106" t="s">
        <v>132</v>
      </c>
      <c r="C43" s="569"/>
      <c r="D43" s="580" t="e">
        <f t="shared" ref="D43:T43" si="277">D41/D42-1</f>
        <v>#DIV/0!</v>
      </c>
      <c r="E43" s="580">
        <f t="shared" si="277"/>
        <v>0</v>
      </c>
      <c r="F43" s="580">
        <f t="shared" si="277"/>
        <v>0</v>
      </c>
      <c r="G43" s="580">
        <f t="shared" si="277"/>
        <v>0</v>
      </c>
      <c r="H43" s="580">
        <f t="shared" si="277"/>
        <v>0</v>
      </c>
      <c r="I43" s="580">
        <f t="shared" si="277"/>
        <v>0</v>
      </c>
      <c r="J43" s="580">
        <f t="shared" si="277"/>
        <v>0</v>
      </c>
      <c r="K43" s="580">
        <f t="shared" si="277"/>
        <v>0</v>
      </c>
      <c r="L43" s="580">
        <f t="shared" si="277"/>
        <v>0</v>
      </c>
      <c r="M43" s="580">
        <f t="shared" si="277"/>
        <v>0</v>
      </c>
      <c r="N43" s="580">
        <f t="shared" si="277"/>
        <v>0</v>
      </c>
      <c r="O43" s="580">
        <f t="shared" si="277"/>
        <v>0</v>
      </c>
      <c r="P43" s="580">
        <f t="shared" si="277"/>
        <v>0</v>
      </c>
      <c r="Q43" s="580">
        <f t="shared" si="277"/>
        <v>0</v>
      </c>
      <c r="R43" s="580">
        <f t="shared" si="277"/>
        <v>0</v>
      </c>
      <c r="S43" s="580">
        <f t="shared" si="277"/>
        <v>0</v>
      </c>
      <c r="T43" s="580">
        <f t="shared" si="277"/>
        <v>0</v>
      </c>
      <c r="U43" s="580">
        <f t="shared" ref="U43" si="278">U42/U41</f>
        <v>1</v>
      </c>
      <c r="V43" s="580">
        <f t="shared" ref="V43" si="279">V42/V41</f>
        <v>1</v>
      </c>
      <c r="W43" s="580">
        <f t="shared" ref="W43:AD43" si="280">W42/W41</f>
        <v>1</v>
      </c>
      <c r="X43" s="580">
        <f t="shared" si="280"/>
        <v>1</v>
      </c>
      <c r="Y43" s="580">
        <f t="shared" si="280"/>
        <v>0.7566918958833303</v>
      </c>
      <c r="Z43" s="580">
        <f t="shared" si="280"/>
        <v>0.61661998132586371</v>
      </c>
      <c r="AA43" s="580">
        <f t="shared" si="280"/>
        <v>0.56059701492537317</v>
      </c>
      <c r="AB43" s="580">
        <f t="shared" si="280"/>
        <v>0.44315151515151513</v>
      </c>
      <c r="AC43" s="580">
        <f t="shared" si="280"/>
        <v>2.7578599007170438E-4</v>
      </c>
      <c r="AD43" s="580">
        <f t="shared" si="280"/>
        <v>0.19585898153329603</v>
      </c>
      <c r="AE43" s="580">
        <f t="shared" ref="AE43" si="281">AE42/AE41</f>
        <v>0.14724540901502503</v>
      </c>
      <c r="AF43" s="580">
        <f t="shared" ref="AF43" si="282">AF42/AF41</f>
        <v>-9.8073555166374823E-2</v>
      </c>
      <c r="AG43" s="580">
        <f t="shared" ref="AG43" si="283">AG42/AG41</f>
        <v>-1.351552795031056</v>
      </c>
      <c r="AH43" s="580">
        <f t="shared" ref="AH43" si="284">AH42/AH41</f>
        <v>-1.636338418862691</v>
      </c>
      <c r="AI43" s="580">
        <f t="shared" ref="AI43" si="285">AI42/AI41</f>
        <v>-1.6229695069820465</v>
      </c>
      <c r="AJ43" s="580">
        <f t="shared" ref="AJ43" si="286">AJ42/AJ41</f>
        <v>-2.4033790918690601</v>
      </c>
      <c r="AK43" s="580">
        <f t="shared" ref="AK43" si="287">AK42/AK41</f>
        <v>2.496798975672215E-2</v>
      </c>
      <c r="AL43" s="580">
        <f t="shared" ref="AL43" si="288">AL42/AL41</f>
        <v>0.71948818897637801</v>
      </c>
      <c r="AM43" s="580">
        <f t="shared" ref="AM43" si="289">AM42/AM41</f>
        <v>0.62534504391468004</v>
      </c>
      <c r="AN43" s="580" t="e">
        <f t="shared" ref="AN43" si="290">AN42/AN41</f>
        <v>#DIV/0!</v>
      </c>
      <c r="AO43" s="580" t="e">
        <f t="shared" ref="AO43" si="291">AO42/AO41</f>
        <v>#DIV/0!</v>
      </c>
      <c r="AP43" s="580" t="e">
        <f t="shared" ref="AP43:BB43" si="292">AP42/AP41</f>
        <v>#DIV/0!</v>
      </c>
      <c r="AQ43" s="580" t="e">
        <f t="shared" si="292"/>
        <v>#DIV/0!</v>
      </c>
      <c r="AR43" s="580" t="e">
        <f t="shared" si="292"/>
        <v>#DIV/0!</v>
      </c>
      <c r="AS43" s="580" t="e">
        <f t="shared" si="292"/>
        <v>#N/A</v>
      </c>
      <c r="AT43" s="580" t="e">
        <f t="shared" si="292"/>
        <v>#N/A</v>
      </c>
      <c r="AU43" s="580" t="e">
        <f t="shared" si="292"/>
        <v>#N/A</v>
      </c>
      <c r="AV43" s="580" t="e">
        <f t="shared" si="292"/>
        <v>#N/A</v>
      </c>
      <c r="AW43" s="580" t="e">
        <f t="shared" si="292"/>
        <v>#N/A</v>
      </c>
      <c r="AX43" s="580" t="e">
        <f t="shared" si="292"/>
        <v>#N/A</v>
      </c>
      <c r="AY43" s="580" t="e">
        <f t="shared" si="292"/>
        <v>#N/A</v>
      </c>
      <c r="AZ43" s="580" t="e">
        <f t="shared" si="292"/>
        <v>#N/A</v>
      </c>
      <c r="BA43" s="580" t="e">
        <f t="shared" si="292"/>
        <v>#N/A</v>
      </c>
      <c r="BB43" s="580" t="e">
        <f t="shared" si="292"/>
        <v>#N/A</v>
      </c>
    </row>
    <row r="44" spans="2:54" hidden="1">
      <c r="B44" s="525" t="s">
        <v>130</v>
      </c>
      <c r="C44" s="105"/>
      <c r="D44" s="527" t="str">
        <f t="shared" ref="D44:AA44" si="293">IF(AND(D39&lt;0,C39&lt;0),"Violation","Compliant")</f>
        <v>Compliant</v>
      </c>
      <c r="E44" s="527" t="str">
        <f t="shared" si="293"/>
        <v>Compliant</v>
      </c>
      <c r="F44" s="527" t="str">
        <f t="shared" si="293"/>
        <v>Compliant</v>
      </c>
      <c r="G44" s="527" t="str">
        <f t="shared" si="293"/>
        <v>Compliant</v>
      </c>
      <c r="H44" s="527" t="str">
        <f t="shared" si="293"/>
        <v>Compliant</v>
      </c>
      <c r="I44" s="527" t="str">
        <f t="shared" si="293"/>
        <v>Compliant</v>
      </c>
      <c r="J44" s="527" t="str">
        <f t="shared" si="293"/>
        <v>Compliant</v>
      </c>
      <c r="K44" s="527" t="str">
        <f t="shared" si="293"/>
        <v>Compliant</v>
      </c>
      <c r="L44" s="527" t="str">
        <f t="shared" si="293"/>
        <v>Compliant</v>
      </c>
      <c r="M44" s="527" t="str">
        <f t="shared" si="293"/>
        <v>Compliant</v>
      </c>
      <c r="N44" s="527" t="str">
        <f t="shared" si="293"/>
        <v>Compliant</v>
      </c>
      <c r="O44" s="527" t="str">
        <f t="shared" si="293"/>
        <v>Compliant</v>
      </c>
      <c r="P44" s="527" t="str">
        <f t="shared" si="293"/>
        <v>Compliant</v>
      </c>
      <c r="Q44" s="527" t="str">
        <f t="shared" si="293"/>
        <v>Compliant</v>
      </c>
      <c r="R44" s="527" t="str">
        <f t="shared" si="293"/>
        <v>Compliant</v>
      </c>
      <c r="S44" s="527" t="str">
        <f t="shared" si="293"/>
        <v>Compliant</v>
      </c>
      <c r="T44" s="527" t="str">
        <f t="shared" si="293"/>
        <v>Compliant</v>
      </c>
      <c r="U44" s="527" t="str">
        <f t="shared" si="293"/>
        <v>Compliant</v>
      </c>
      <c r="V44" s="527" t="str">
        <f t="shared" si="293"/>
        <v>Compliant</v>
      </c>
      <c r="W44" s="527" t="str">
        <f t="shared" si="293"/>
        <v>Compliant</v>
      </c>
      <c r="X44" s="527" t="str">
        <f t="shared" si="293"/>
        <v>Compliant</v>
      </c>
      <c r="Y44" s="527" t="str">
        <f t="shared" si="293"/>
        <v>Compliant</v>
      </c>
      <c r="Z44" s="527" t="str">
        <f t="shared" si="293"/>
        <v>Compliant</v>
      </c>
      <c r="AA44" s="527" t="str">
        <f t="shared" si="293"/>
        <v>Compliant</v>
      </c>
      <c r="AB44" s="527" t="str">
        <f>IF(AB40&gt;+AB41,"Violation","Compliant")</f>
        <v>Compliant</v>
      </c>
      <c r="AC44" s="527" t="str">
        <f t="shared" ref="AC44:AD44" si="294">IF(AC40&gt;+AC41,"Violation","Compliant")</f>
        <v>Compliant</v>
      </c>
      <c r="AD44" s="527" t="str">
        <f t="shared" si="294"/>
        <v>Compliant</v>
      </c>
      <c r="AE44" s="527" t="str">
        <f t="shared" ref="AE44" si="295">IF(AND(AE39&lt;0,AD39&lt;0),"Violation","Compliant")</f>
        <v>Compliant</v>
      </c>
      <c r="AF44" s="527" t="str">
        <f t="shared" ref="AF44" si="296">IF(AND(AF39&lt;0,AE39&lt;0),"Violation","Compliant")</f>
        <v>Compliant</v>
      </c>
      <c r="AG44" s="527" t="str">
        <f t="shared" ref="AG44" si="297">IF(AND(AG39&lt;0,AF39&lt;0),"Violation","Compliant")</f>
        <v>Compliant</v>
      </c>
      <c r="AH44" s="527" t="str">
        <f t="shared" ref="AH44" si="298">IF(AND(AH39&lt;0,AG39&lt;0),"Violation","Compliant")</f>
        <v>Compliant</v>
      </c>
      <c r="AI44" s="527" t="str">
        <f t="shared" ref="AI44" si="299">IF(AND(AI39&lt;0,AH39&lt;0),"Violation","Compliant")</f>
        <v>Compliant</v>
      </c>
      <c r="AJ44" s="527" t="str">
        <f t="shared" ref="AJ44" si="300">IF(AND(AJ39&lt;0,AI39&lt;0),"Violation","Compliant")</f>
        <v>Compliant</v>
      </c>
      <c r="AK44" s="527" t="str">
        <f t="shared" ref="AK44" si="301">IF(AND(AK39&lt;0,AJ39&lt;0),"Violation","Compliant")</f>
        <v>Compliant</v>
      </c>
      <c r="AL44" s="527" t="str">
        <f t="shared" ref="AL44" si="302">IF(AND(AL39&lt;0,AK39&lt;0),"Violation","Compliant")</f>
        <v>Compliant</v>
      </c>
      <c r="AM44" s="527" t="str">
        <f t="shared" ref="AM44" si="303">IF(AND(AM39&lt;0,AL39&lt;0),"Violation","Compliant")</f>
        <v>Compliant</v>
      </c>
      <c r="AN44" s="527" t="str">
        <f t="shared" ref="AN44" si="304">IF(AND(AN39&lt;0,AM39&lt;0),"Violation","Compliant")</f>
        <v>Compliant</v>
      </c>
      <c r="AO44" s="527" t="str">
        <f t="shared" ref="AO44" si="305">IF(AND(AO39&lt;0,AN39&lt;0),"Violation","Compliant")</f>
        <v>Compliant</v>
      </c>
      <c r="AP44" s="527" t="str">
        <f t="shared" ref="AP44" si="306">IF(AND(AP39&lt;0,AO39&lt;0),"Violation","Compliant")</f>
        <v>Compliant</v>
      </c>
      <c r="AQ44" s="527" t="str">
        <f t="shared" ref="AQ44" si="307">IF(AND(AQ39&lt;0,AP39&lt;0),"Violation","Compliant")</f>
        <v>Compliant</v>
      </c>
      <c r="AR44" s="527" t="str">
        <f t="shared" ref="AR44" si="308">IF(AND(AR39&lt;0,AQ39&lt;0),"Violation","Compliant")</f>
        <v>Compliant</v>
      </c>
      <c r="AS44" s="527" t="str">
        <f t="shared" ref="AS44" si="309">IF(AND(AS39&lt;0,AR39&lt;0),"Violation","Compliant")</f>
        <v>Compliant</v>
      </c>
      <c r="AT44" s="527" t="str">
        <f t="shared" ref="AT44" si="310">IF(AND(AT39&lt;0,AS39&lt;0),"Violation","Compliant")</f>
        <v>Compliant</v>
      </c>
      <c r="AU44" s="527" t="str">
        <f t="shared" ref="AU44" si="311">IF(AND(AU39&lt;0,AT39&lt;0),"Violation","Compliant")</f>
        <v>Compliant</v>
      </c>
      <c r="AV44" s="527" t="str">
        <f t="shared" ref="AV44" si="312">IF(AND(AV39&lt;0,AU39&lt;0),"Violation","Compliant")</f>
        <v>Compliant</v>
      </c>
      <c r="AW44" s="527" t="str">
        <f t="shared" ref="AW44" si="313">IF(AND(AW39&lt;0,AV39&lt;0),"Violation","Compliant")</f>
        <v>Compliant</v>
      </c>
      <c r="AX44" s="527" t="str">
        <f t="shared" ref="AX44" si="314">IF(AND(AX39&lt;0,AW39&lt;0),"Violation","Compliant")</f>
        <v>Compliant</v>
      </c>
      <c r="AY44" s="527" t="str">
        <f t="shared" ref="AY44" si="315">IF(AND(AY39&lt;0,AX39&lt;0),"Violation","Compliant")</f>
        <v>Compliant</v>
      </c>
      <c r="AZ44" s="527" t="str">
        <f t="shared" ref="AZ44" si="316">IF(AND(AZ39&lt;0,AY39&lt;0),"Violation","Compliant")</f>
        <v>Compliant</v>
      </c>
      <c r="BA44" s="527" t="str">
        <f t="shared" ref="BA44" si="317">IF(AND(BA39&lt;0,AZ39&lt;0),"Violation","Compliant")</f>
        <v>Compliant</v>
      </c>
      <c r="BB44" s="527" t="str">
        <f t="shared" ref="BB44" si="318">IF(AND(BB39&lt;0,BA39&lt;0),"Violation","Compliant")</f>
        <v>Compliant</v>
      </c>
    </row>
    <row r="45" spans="2:54" hidden="1">
      <c r="B45" s="567"/>
      <c r="C45" s="567"/>
      <c r="D45" s="567"/>
      <c r="E45" s="567"/>
      <c r="F45" s="567"/>
      <c r="G45" s="567"/>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c r="AI45" s="567"/>
      <c r="AJ45" s="567"/>
      <c r="AK45" s="567"/>
      <c r="AL45" s="567"/>
      <c r="AM45" s="567"/>
      <c r="AN45" s="567"/>
      <c r="AO45" s="567"/>
      <c r="AP45" s="567"/>
      <c r="AQ45" s="567"/>
      <c r="AR45" s="567"/>
      <c r="AS45" s="567"/>
      <c r="AT45" s="567"/>
      <c r="AU45" s="567"/>
      <c r="AV45" s="567"/>
      <c r="AW45" s="567"/>
      <c r="AX45" s="567"/>
      <c r="AY45" s="567"/>
      <c r="AZ45" s="567"/>
      <c r="BA45" s="567"/>
      <c r="BB45" s="567"/>
    </row>
    <row r="46" spans="2:54">
      <c r="B46" s="164" t="s">
        <v>269</v>
      </c>
      <c r="C46" s="165" t="str">
        <f>C36</f>
        <v>Violation</v>
      </c>
      <c r="D46" s="165">
        <f>D38</f>
        <v>42460</v>
      </c>
      <c r="E46" s="165">
        <f t="shared" ref="E46" si="319">EOMONTH(D46,3)</f>
        <v>42551</v>
      </c>
      <c r="F46" s="165">
        <f t="shared" ref="F46" si="320">EOMONTH(E46,3)</f>
        <v>42643</v>
      </c>
      <c r="G46" s="165">
        <f t="shared" ref="G46" si="321">EOMONTH(F46,3)</f>
        <v>42735</v>
      </c>
      <c r="H46" s="165">
        <f t="shared" ref="H46" si="322">EOMONTH(G46,3)</f>
        <v>42825</v>
      </c>
      <c r="I46" s="165">
        <f t="shared" ref="I46" si="323">EOMONTH(H46,3)</f>
        <v>42916</v>
      </c>
      <c r="J46" s="165">
        <f t="shared" ref="J46" si="324">EOMONTH(I46,3)</f>
        <v>43008</v>
      </c>
      <c r="K46" s="165">
        <f t="shared" ref="K46" si="325">EOMONTH(J46,3)</f>
        <v>43100</v>
      </c>
      <c r="L46" s="165">
        <f t="shared" ref="L46" si="326">EOMONTH(K46,3)</f>
        <v>43190</v>
      </c>
      <c r="M46" s="165">
        <f t="shared" ref="M46" si="327">EOMONTH(L46,3)</f>
        <v>43281</v>
      </c>
      <c r="N46" s="165">
        <f t="shared" ref="N46" si="328">EOMONTH(M46,3)</f>
        <v>43373</v>
      </c>
      <c r="O46" s="165">
        <f t="shared" ref="O46" si="329">EOMONTH(N46,3)</f>
        <v>43465</v>
      </c>
      <c r="P46" s="165">
        <f t="shared" ref="P46" si="330">EOMONTH(O46,3)</f>
        <v>43555</v>
      </c>
      <c r="Q46" s="165">
        <f t="shared" ref="Q46" si="331">EOMONTH(P46,3)</f>
        <v>43646</v>
      </c>
      <c r="R46" s="165">
        <f t="shared" ref="R46" si="332">EOMONTH(Q46,3)</f>
        <v>43738</v>
      </c>
      <c r="S46" s="165">
        <f t="shared" ref="S46" si="333">EOMONTH(R46,3)</f>
        <v>43830</v>
      </c>
      <c r="T46" s="165">
        <f t="shared" ref="T46" si="334">EOMONTH(S46,3)</f>
        <v>43921</v>
      </c>
      <c r="U46" s="165">
        <f t="shared" ref="U46" si="335">EOMONTH(T46,3)</f>
        <v>44012</v>
      </c>
      <c r="V46" s="165">
        <f t="shared" ref="V46" si="336">EOMONTH(U46,3)</f>
        <v>44104</v>
      </c>
      <c r="W46" s="165">
        <f t="shared" ref="W46" si="337">EOMONTH(V46,3)</f>
        <v>44196</v>
      </c>
      <c r="X46" s="165">
        <f t="shared" ref="X46" si="338">EOMONTH(W46,3)</f>
        <v>44286</v>
      </c>
      <c r="Y46" s="165">
        <f t="shared" ref="Y46" si="339">EOMONTH(X46,3)</f>
        <v>44377</v>
      </c>
      <c r="Z46" s="165">
        <f t="shared" ref="Z46" si="340">EOMONTH(Y46,3)</f>
        <v>44469</v>
      </c>
      <c r="AA46" s="165">
        <f t="shared" ref="AA46" si="341">EOMONTH(Z46,3)</f>
        <v>44561</v>
      </c>
      <c r="AB46" s="165">
        <f t="shared" ref="AB46" si="342">EOMONTH(AA46,3)</f>
        <v>44651</v>
      </c>
      <c r="AC46" s="165">
        <f t="shared" ref="AC46" si="343">EOMONTH(AB46,3)</f>
        <v>44742</v>
      </c>
      <c r="AD46" s="165">
        <f t="shared" ref="AD46" si="344">EOMONTH(AC46,3)</f>
        <v>44834</v>
      </c>
      <c r="AE46" s="165">
        <f t="shared" ref="AE46" si="345">EOMONTH(AD46,3)</f>
        <v>44926</v>
      </c>
      <c r="AF46" s="165">
        <f t="shared" ref="AF46" si="346">EOMONTH(AE46,3)</f>
        <v>45016</v>
      </c>
      <c r="AG46" s="165">
        <f t="shared" ref="AG46" si="347">EOMONTH(AF46,3)</f>
        <v>45107</v>
      </c>
      <c r="AH46" s="165">
        <f t="shared" ref="AH46" si="348">EOMONTH(AG46,3)</f>
        <v>45199</v>
      </c>
      <c r="AI46" s="165">
        <f t="shared" ref="AI46" si="349">EOMONTH(AH46,3)</f>
        <v>45291</v>
      </c>
      <c r="AJ46" s="165">
        <f t="shared" ref="AJ46" si="350">EOMONTH(AI46,3)</f>
        <v>45382</v>
      </c>
      <c r="AK46" s="165">
        <f t="shared" ref="AK46" si="351">EOMONTH(AJ46,3)</f>
        <v>45473</v>
      </c>
      <c r="AL46" s="165">
        <f t="shared" ref="AL46" si="352">EOMONTH(AK46,3)</f>
        <v>45565</v>
      </c>
      <c r="AM46" s="165">
        <f t="shared" ref="AM46" si="353">EOMONTH(AL46,3)</f>
        <v>45657</v>
      </c>
      <c r="AN46" s="165">
        <f t="shared" ref="AN46" si="354">EOMONTH(AM46,3)</f>
        <v>45747</v>
      </c>
      <c r="AO46" s="165">
        <f t="shared" ref="AO46" si="355">EOMONTH(AN46,3)</f>
        <v>45838</v>
      </c>
      <c r="AP46" s="165">
        <f t="shared" ref="AP46" si="356">EOMONTH(AO46,3)</f>
        <v>45930</v>
      </c>
      <c r="AQ46" s="165">
        <f t="shared" ref="AQ46" si="357">EOMONTH(AP46,3)</f>
        <v>46022</v>
      </c>
      <c r="AR46" s="165">
        <f t="shared" ref="AR46" si="358">EOMONTH(AQ46,3)</f>
        <v>46112</v>
      </c>
      <c r="AS46" s="165">
        <f t="shared" ref="AS46" si="359">EOMONTH(AR46,3)</f>
        <v>46203</v>
      </c>
      <c r="AT46" s="165">
        <f t="shared" ref="AT46" si="360">EOMONTH(AS46,3)</f>
        <v>46295</v>
      </c>
      <c r="AU46" s="165">
        <f t="shared" ref="AU46" si="361">EOMONTH(AT46,3)</f>
        <v>46387</v>
      </c>
      <c r="AV46" s="165">
        <f t="shared" ref="AV46" si="362">EOMONTH(AU46,3)</f>
        <v>46477</v>
      </c>
      <c r="AW46" s="165">
        <f t="shared" ref="AW46" si="363">EOMONTH(AV46,3)</f>
        <v>46568</v>
      </c>
      <c r="AX46" s="165">
        <f t="shared" ref="AX46" si="364">EOMONTH(AW46,3)</f>
        <v>46660</v>
      </c>
      <c r="AY46" s="165">
        <f t="shared" ref="AY46" si="365">EOMONTH(AX46,3)</f>
        <v>46752</v>
      </c>
      <c r="AZ46" s="165">
        <f t="shared" ref="AZ46" si="366">EOMONTH(AY46,3)</f>
        <v>46843</v>
      </c>
      <c r="BA46" s="165">
        <f t="shared" ref="BA46" si="367">EOMONTH(AZ46,3)</f>
        <v>46934</v>
      </c>
      <c r="BB46" s="165">
        <f t="shared" ref="BB46" si="368">EOMONTH(BA46,3)</f>
        <v>47026</v>
      </c>
    </row>
    <row r="47" spans="2:54">
      <c r="B47" s="567" t="s">
        <v>270</v>
      </c>
      <c r="C47" s="169">
        <v>87221</v>
      </c>
      <c r="D47" s="569">
        <f>'Balance Sheet'!D4</f>
        <v>47574</v>
      </c>
      <c r="E47" s="569">
        <f>'Balance Sheet'!E4</f>
        <v>49666</v>
      </c>
      <c r="F47" s="569">
        <f>'Balance Sheet'!F4</f>
        <v>45915</v>
      </c>
      <c r="G47" s="569">
        <f>'Balance Sheet'!G4</f>
        <v>49518</v>
      </c>
      <c r="H47" s="569">
        <f>'Balance Sheet'!H4</f>
        <v>31648</v>
      </c>
      <c r="I47" s="569">
        <f>'Balance Sheet'!I4</f>
        <v>27300</v>
      </c>
      <c r="J47" s="569">
        <f>'Balance Sheet'!J4</f>
        <v>47968</v>
      </c>
      <c r="K47" s="569">
        <f>'Balance Sheet'!K4</f>
        <v>67571</v>
      </c>
      <c r="L47" s="569">
        <f>'Balance Sheet'!L4</f>
        <v>52024</v>
      </c>
      <c r="M47" s="569">
        <f>'Balance Sheet'!M4</f>
        <v>48886</v>
      </c>
      <c r="N47" s="569">
        <f>'Balance Sheet'!N4</f>
        <v>37969</v>
      </c>
      <c r="O47" s="569">
        <f>'Balance Sheet'!O4</f>
        <v>46624</v>
      </c>
      <c r="P47" s="569">
        <f>'Balance Sheet'!P4</f>
        <v>35084</v>
      </c>
      <c r="Q47" s="569">
        <f>'Balance Sheet'!Q4</f>
        <v>37555</v>
      </c>
      <c r="R47" s="569">
        <f>'Balance Sheet'!R4</f>
        <v>37030</v>
      </c>
      <c r="S47" s="569">
        <f>'Balance Sheet'!S4</f>
        <v>38345</v>
      </c>
      <c r="T47" s="569">
        <f>'Balance Sheet'!T4</f>
        <v>118232</v>
      </c>
      <c r="U47" s="569">
        <f>'Balance Sheet'!U4</f>
        <v>49102</v>
      </c>
      <c r="V47" s="569">
        <f>'Balance Sheet'!V4</f>
        <v>46335</v>
      </c>
      <c r="W47" s="569">
        <f>'Balance Sheet'!W4</f>
        <v>35942</v>
      </c>
      <c r="X47" s="569">
        <f>'Balance Sheet'!X4</f>
        <v>48157</v>
      </c>
      <c r="Y47" s="569">
        <f>'Balance Sheet'!Y4</f>
        <v>111704</v>
      </c>
      <c r="Z47" s="569">
        <f>'Balance Sheet'!Z4</f>
        <v>46717</v>
      </c>
      <c r="AA47" s="569">
        <f>'Balance Sheet'!AA4</f>
        <v>50514</v>
      </c>
      <c r="AB47" s="569">
        <f>'Balance Sheet'!AB4</f>
        <v>53325</v>
      </c>
      <c r="AC47" s="569">
        <f>'Balance Sheet'!AC4</f>
        <v>41971</v>
      </c>
      <c r="AD47" s="569">
        <f>'Balance Sheet'!AD4</f>
        <v>52660</v>
      </c>
      <c r="AE47" s="569"/>
      <c r="AF47" s="569"/>
      <c r="AG47" s="569"/>
      <c r="AH47" s="569"/>
      <c r="AI47" s="569"/>
      <c r="AJ47" s="569"/>
      <c r="AK47" s="569"/>
      <c r="AL47" s="569"/>
      <c r="AM47" s="569"/>
      <c r="AN47" s="569"/>
      <c r="AO47" s="569"/>
      <c r="AP47" s="569"/>
      <c r="AQ47" s="569"/>
      <c r="AR47" s="569"/>
      <c r="AS47" s="569"/>
      <c r="AT47" s="569"/>
      <c r="AU47" s="569"/>
      <c r="AV47" s="569"/>
      <c r="AW47" s="569"/>
      <c r="AX47" s="569"/>
      <c r="AY47" s="569"/>
      <c r="AZ47" s="569"/>
      <c r="BA47" s="569"/>
      <c r="BB47" s="569"/>
    </row>
    <row r="48" spans="2:54" s="519" customFormat="1">
      <c r="B48" s="519" t="s">
        <v>271</v>
      </c>
      <c r="C48" s="169">
        <v>14199</v>
      </c>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v>6040.8720000000003</v>
      </c>
      <c r="AC48" s="169">
        <v>7074</v>
      </c>
      <c r="AD48" s="169">
        <v>6896</v>
      </c>
      <c r="AE48" s="169">
        <v>11160</v>
      </c>
      <c r="AF48" s="169">
        <v>15945</v>
      </c>
      <c r="AG48" s="169">
        <v>6435</v>
      </c>
      <c r="AH48" s="169">
        <v>16407</v>
      </c>
      <c r="AI48" s="169">
        <v>21486</v>
      </c>
      <c r="AJ48" s="169">
        <v>21628</v>
      </c>
      <c r="AK48" s="169">
        <v>23515</v>
      </c>
      <c r="AL48" s="169">
        <v>21886</v>
      </c>
      <c r="AM48" s="169">
        <v>28284</v>
      </c>
      <c r="AN48" s="169">
        <v>24594</v>
      </c>
      <c r="AO48" s="169">
        <v>23541</v>
      </c>
      <c r="AP48" s="169">
        <v>21062</v>
      </c>
      <c r="AQ48" s="169">
        <v>21249</v>
      </c>
      <c r="AR48" s="169">
        <v>23135</v>
      </c>
      <c r="AS48" s="169"/>
      <c r="AT48" s="169"/>
      <c r="AU48" s="169"/>
      <c r="AV48" s="169"/>
      <c r="AW48" s="169"/>
      <c r="AX48" s="169"/>
      <c r="AY48" s="169"/>
      <c r="AZ48" s="169"/>
      <c r="BA48" s="169"/>
      <c r="BB48" s="169"/>
    </row>
    <row r="49" spans="1:72">
      <c r="A49" s="567"/>
      <c r="B49" s="401" t="s">
        <v>272</v>
      </c>
      <c r="C49" s="546">
        <f>C47/C48</f>
        <v>6.1427565321501518</v>
      </c>
      <c r="D49" s="546" t="e">
        <f>D47/D48</f>
        <v>#DIV/0!</v>
      </c>
      <c r="E49" s="587">
        <f t="shared" ref="E49:AA49" si="369">SUM(E47:E48)</f>
        <v>49666</v>
      </c>
      <c r="F49" s="587">
        <f t="shared" si="369"/>
        <v>45915</v>
      </c>
      <c r="G49" s="587">
        <f t="shared" si="369"/>
        <v>49518</v>
      </c>
      <c r="H49" s="587">
        <f t="shared" si="369"/>
        <v>31648</v>
      </c>
      <c r="I49" s="587">
        <f t="shared" si="369"/>
        <v>27300</v>
      </c>
      <c r="J49" s="587">
        <f t="shared" si="369"/>
        <v>47968</v>
      </c>
      <c r="K49" s="587">
        <f t="shared" si="369"/>
        <v>67571</v>
      </c>
      <c r="L49" s="587">
        <f t="shared" si="369"/>
        <v>52024</v>
      </c>
      <c r="M49" s="587">
        <f t="shared" si="369"/>
        <v>48886</v>
      </c>
      <c r="N49" s="587">
        <f t="shared" si="369"/>
        <v>37969</v>
      </c>
      <c r="O49" s="587">
        <f t="shared" si="369"/>
        <v>46624</v>
      </c>
      <c r="P49" s="587">
        <f t="shared" si="369"/>
        <v>35084</v>
      </c>
      <c r="Q49" s="587">
        <f t="shared" si="369"/>
        <v>37555</v>
      </c>
      <c r="R49" s="587">
        <f t="shared" si="369"/>
        <v>37030</v>
      </c>
      <c r="S49" s="587">
        <f t="shared" si="369"/>
        <v>38345</v>
      </c>
      <c r="T49" s="587">
        <f t="shared" si="369"/>
        <v>118232</v>
      </c>
      <c r="U49" s="587">
        <f t="shared" si="369"/>
        <v>49102</v>
      </c>
      <c r="V49" s="587">
        <f t="shared" si="369"/>
        <v>46335</v>
      </c>
      <c r="W49" s="587">
        <f t="shared" si="369"/>
        <v>35942</v>
      </c>
      <c r="X49" s="587">
        <f t="shared" si="369"/>
        <v>48157</v>
      </c>
      <c r="Y49" s="587">
        <f t="shared" si="369"/>
        <v>111704</v>
      </c>
      <c r="Z49" s="587">
        <f t="shared" si="369"/>
        <v>46717</v>
      </c>
      <c r="AA49" s="587">
        <f t="shared" si="369"/>
        <v>50514</v>
      </c>
      <c r="AB49" s="587">
        <f>AB48</f>
        <v>6040.8720000000003</v>
      </c>
      <c r="AC49" s="587">
        <f t="shared" ref="AC49:AP49" si="370">AC48</f>
        <v>7074</v>
      </c>
      <c r="AD49" s="587">
        <f t="shared" si="370"/>
        <v>6896</v>
      </c>
      <c r="AE49" s="587">
        <f t="shared" si="370"/>
        <v>11160</v>
      </c>
      <c r="AF49" s="587">
        <f t="shared" si="370"/>
        <v>15945</v>
      </c>
      <c r="AG49" s="587">
        <f t="shared" si="370"/>
        <v>6435</v>
      </c>
      <c r="AH49" s="587">
        <f t="shared" si="370"/>
        <v>16407</v>
      </c>
      <c r="AI49" s="587">
        <f t="shared" si="370"/>
        <v>21486</v>
      </c>
      <c r="AJ49" s="587">
        <f t="shared" si="370"/>
        <v>21628</v>
      </c>
      <c r="AK49" s="587">
        <f t="shared" si="370"/>
        <v>23515</v>
      </c>
      <c r="AL49" s="587">
        <f t="shared" si="370"/>
        <v>21886</v>
      </c>
      <c r="AM49" s="587">
        <f t="shared" si="370"/>
        <v>28284</v>
      </c>
      <c r="AN49" s="587">
        <f t="shared" si="370"/>
        <v>24594</v>
      </c>
      <c r="AO49" s="587">
        <f t="shared" si="370"/>
        <v>23541</v>
      </c>
      <c r="AP49" s="587">
        <f t="shared" si="370"/>
        <v>21062</v>
      </c>
      <c r="AQ49" s="587">
        <f t="shared" ref="AQ49:BB49" si="371">AQ48</f>
        <v>21249</v>
      </c>
      <c r="AR49" s="587">
        <f t="shared" si="371"/>
        <v>23135</v>
      </c>
      <c r="AS49" s="587">
        <f t="shared" si="371"/>
        <v>0</v>
      </c>
      <c r="AT49" s="587">
        <f t="shared" si="371"/>
        <v>0</v>
      </c>
      <c r="AU49" s="587">
        <f t="shared" si="371"/>
        <v>0</v>
      </c>
      <c r="AV49" s="587">
        <f t="shared" si="371"/>
        <v>0</v>
      </c>
      <c r="AW49" s="587">
        <f t="shared" si="371"/>
        <v>0</v>
      </c>
      <c r="AX49" s="587">
        <f t="shared" si="371"/>
        <v>0</v>
      </c>
      <c r="AY49" s="587">
        <f t="shared" si="371"/>
        <v>0</v>
      </c>
      <c r="AZ49" s="587">
        <f t="shared" si="371"/>
        <v>0</v>
      </c>
      <c r="BA49" s="587">
        <f t="shared" si="371"/>
        <v>0</v>
      </c>
      <c r="BB49" s="587">
        <f t="shared" si="371"/>
        <v>0</v>
      </c>
      <c r="BC49" s="567"/>
      <c r="BD49" s="567"/>
      <c r="BE49" s="567"/>
      <c r="BF49" s="567"/>
      <c r="BG49" s="567"/>
      <c r="BH49" s="567"/>
      <c r="BI49" s="567"/>
      <c r="BJ49" s="567"/>
      <c r="BK49" s="567"/>
      <c r="BL49" s="567"/>
      <c r="BM49" s="567"/>
      <c r="BN49" s="567"/>
      <c r="BO49" s="567"/>
      <c r="BP49" s="567"/>
      <c r="BQ49" s="567"/>
      <c r="BR49" s="567"/>
      <c r="BS49" s="567"/>
      <c r="BT49" s="567"/>
    </row>
    <row r="50" spans="1:72">
      <c r="A50" s="567"/>
      <c r="B50" s="105" t="s">
        <v>129</v>
      </c>
      <c r="C50" s="547">
        <v>2.5</v>
      </c>
      <c r="D50" s="586">
        <f>D22*0.25</f>
        <v>62829</v>
      </c>
      <c r="E50" s="586">
        <f t="shared" ref="E50:AK50" si="372">E21*0.25</f>
        <v>72205.25</v>
      </c>
      <c r="F50" s="586">
        <f t="shared" si="372"/>
        <v>79626.5</v>
      </c>
      <c r="G50" s="586">
        <f t="shared" si="372"/>
        <v>85795.75</v>
      </c>
      <c r="H50" s="586">
        <f t="shared" si="372"/>
        <v>90305.5</v>
      </c>
      <c r="I50" s="586">
        <f t="shared" si="372"/>
        <v>98585.75</v>
      </c>
      <c r="J50" s="586">
        <f t="shared" si="372"/>
        <v>108111.75</v>
      </c>
      <c r="K50" s="586">
        <f t="shared" si="372"/>
        <v>118975</v>
      </c>
      <c r="L50" s="586">
        <f t="shared" si="372"/>
        <v>126437.5</v>
      </c>
      <c r="M50" s="586">
        <f t="shared" si="372"/>
        <v>138624</v>
      </c>
      <c r="N50" s="586">
        <f t="shared" si="372"/>
        <v>147145.5</v>
      </c>
      <c r="O50" s="586">
        <f t="shared" si="372"/>
        <v>160283.75</v>
      </c>
      <c r="P50" s="586">
        <f t="shared" si="372"/>
        <v>160283.75</v>
      </c>
      <c r="Q50" s="586">
        <f t="shared" si="372"/>
        <v>177800.5</v>
      </c>
      <c r="R50" s="586">
        <f t="shared" si="372"/>
        <v>190560</v>
      </c>
      <c r="S50" s="586">
        <f t="shared" si="372"/>
        <v>207138.5</v>
      </c>
      <c r="T50" s="586">
        <f t="shared" si="372"/>
        <v>211321.5</v>
      </c>
      <c r="U50" s="586">
        <f t="shared" si="372"/>
        <v>225769.25</v>
      </c>
      <c r="V50" s="586">
        <f t="shared" si="372"/>
        <v>249241.25</v>
      </c>
      <c r="W50" s="586">
        <f t="shared" si="372"/>
        <v>280000.25</v>
      </c>
      <c r="X50" s="586">
        <f t="shared" si="372"/>
        <v>300817.5</v>
      </c>
      <c r="Y50" s="586">
        <f t="shared" si="372"/>
        <v>317072.75</v>
      </c>
      <c r="Z50" s="586">
        <f t="shared" si="372"/>
        <v>329035.75</v>
      </c>
      <c r="AA50" s="586">
        <f t="shared" si="372"/>
        <v>344408</v>
      </c>
      <c r="AB50" s="586">
        <f t="shared" si="372"/>
        <v>353416.5</v>
      </c>
      <c r="AC50" s="586">
        <f t="shared" si="372"/>
        <v>374104</v>
      </c>
      <c r="AD50" s="586">
        <f t="shared" si="372"/>
        <v>396831.75</v>
      </c>
      <c r="AE50" s="586">
        <f t="shared" si="372"/>
        <v>406052</v>
      </c>
      <c r="AF50" s="586">
        <f t="shared" si="372"/>
        <v>414271</v>
      </c>
      <c r="AG50" s="586">
        <f t="shared" si="372"/>
        <v>427781.75</v>
      </c>
      <c r="AH50" s="586">
        <f t="shared" si="372"/>
        <v>445258.25</v>
      </c>
      <c r="AI50" s="586">
        <f t="shared" si="372"/>
        <v>458962.5</v>
      </c>
      <c r="AJ50" s="586">
        <f t="shared" si="372"/>
        <v>462479</v>
      </c>
      <c r="AK50" s="586">
        <f t="shared" si="372"/>
        <v>476195.25</v>
      </c>
      <c r="AL50" s="586">
        <f t="shared" ref="AL50:AQ50" si="373">AL21*0.25</f>
        <v>493949.75</v>
      </c>
      <c r="AM50" s="586">
        <f t="shared" si="373"/>
        <v>503984.75</v>
      </c>
      <c r="AN50" s="586">
        <f t="shared" si="373"/>
        <v>505588.5</v>
      </c>
      <c r="AO50" s="586">
        <f t="shared" si="373"/>
        <v>508673.5</v>
      </c>
      <c r="AP50" s="586">
        <f t="shared" si="373"/>
        <v>514433</v>
      </c>
      <c r="AQ50" s="586">
        <f t="shared" si="373"/>
        <v>518591.75</v>
      </c>
      <c r="AR50" s="586">
        <v>520369</v>
      </c>
      <c r="AS50" s="586"/>
      <c r="AT50" s="586"/>
      <c r="AU50" s="586"/>
      <c r="AV50" s="586"/>
      <c r="AW50" s="586"/>
      <c r="AX50" s="586"/>
      <c r="AY50" s="586"/>
      <c r="AZ50" s="586"/>
      <c r="BA50" s="586"/>
      <c r="BB50" s="586"/>
      <c r="BC50" s="567"/>
      <c r="BD50" s="567"/>
      <c r="BE50" s="567"/>
      <c r="BF50" s="567"/>
      <c r="BG50" s="567"/>
      <c r="BH50" s="567"/>
      <c r="BI50" s="567"/>
      <c r="BJ50" s="567"/>
      <c r="BK50" s="567"/>
      <c r="BL50" s="567"/>
      <c r="BM50" s="567"/>
      <c r="BN50" s="567"/>
      <c r="BO50" s="567"/>
      <c r="BP50" s="567"/>
      <c r="BQ50" s="567"/>
      <c r="BR50" s="567"/>
      <c r="BS50" s="567"/>
      <c r="BT50" s="567"/>
    </row>
    <row r="51" spans="1:72" ht="14.5">
      <c r="A51" s="567"/>
      <c r="B51" s="106" t="s">
        <v>131</v>
      </c>
      <c r="C51" s="569">
        <f>(C50*C47)-C48</f>
        <v>203853.5</v>
      </c>
      <c r="D51" s="569">
        <f t="shared" ref="D51:AB51" si="374">D50-SUM(D47:D48)</f>
        <v>15255</v>
      </c>
      <c r="E51" s="569">
        <f t="shared" si="374"/>
        <v>22539.25</v>
      </c>
      <c r="F51" s="569">
        <f t="shared" si="374"/>
        <v>33711.5</v>
      </c>
      <c r="G51" s="569">
        <f t="shared" si="374"/>
        <v>36277.75</v>
      </c>
      <c r="H51" s="569">
        <f t="shared" si="374"/>
        <v>58657.5</v>
      </c>
      <c r="I51" s="569">
        <f t="shared" si="374"/>
        <v>71285.75</v>
      </c>
      <c r="J51" s="569">
        <f t="shared" si="374"/>
        <v>60143.75</v>
      </c>
      <c r="K51" s="569">
        <f t="shared" si="374"/>
        <v>51404</v>
      </c>
      <c r="L51" s="569">
        <f t="shared" si="374"/>
        <v>74413.5</v>
      </c>
      <c r="M51" s="569">
        <f t="shared" si="374"/>
        <v>89738</v>
      </c>
      <c r="N51" s="569">
        <f t="shared" si="374"/>
        <v>109176.5</v>
      </c>
      <c r="O51" s="569">
        <f t="shared" si="374"/>
        <v>113659.75</v>
      </c>
      <c r="P51" s="569">
        <f t="shared" si="374"/>
        <v>125199.75</v>
      </c>
      <c r="Q51" s="569">
        <f t="shared" si="374"/>
        <v>140245.5</v>
      </c>
      <c r="R51" s="569">
        <f t="shared" si="374"/>
        <v>153530</v>
      </c>
      <c r="S51" s="569">
        <f t="shared" si="374"/>
        <v>168793.5</v>
      </c>
      <c r="T51" s="569">
        <f t="shared" si="374"/>
        <v>93089.5</v>
      </c>
      <c r="U51" s="569">
        <f t="shared" si="374"/>
        <v>176667.25</v>
      </c>
      <c r="V51" s="569">
        <f t="shared" si="374"/>
        <v>202906.25</v>
      </c>
      <c r="W51" s="569">
        <f t="shared" si="374"/>
        <v>244058.25</v>
      </c>
      <c r="X51" s="569">
        <f t="shared" si="374"/>
        <v>252660.5</v>
      </c>
      <c r="Y51" s="569">
        <f t="shared" si="374"/>
        <v>205368.75</v>
      </c>
      <c r="Z51" s="569">
        <f t="shared" si="374"/>
        <v>282318.75</v>
      </c>
      <c r="AA51" s="569">
        <f t="shared" si="374"/>
        <v>293894</v>
      </c>
      <c r="AB51" s="569">
        <f t="shared" si="374"/>
        <v>294050.62800000003</v>
      </c>
      <c r="AC51" s="569">
        <f>AC50-SUM(AC47:AC48)</f>
        <v>325059</v>
      </c>
      <c r="AD51" s="569">
        <f t="shared" ref="AD51:AE51" si="375">AD50-SUM(AD47:AD48)</f>
        <v>337275.75</v>
      </c>
      <c r="AE51" s="569">
        <f t="shared" si="375"/>
        <v>394892</v>
      </c>
      <c r="AF51" s="569">
        <f t="shared" ref="AF51" si="376">AF50-SUM(AF47:AF48)</f>
        <v>398326</v>
      </c>
      <c r="AG51" s="569">
        <f t="shared" ref="AG51" si="377">AG50-SUM(AG47:AG48)</f>
        <v>421346.75</v>
      </c>
      <c r="AH51" s="569">
        <f t="shared" ref="AH51" si="378">AH50-SUM(AH47:AH48)</f>
        <v>428851.25</v>
      </c>
      <c r="AI51" s="569">
        <f t="shared" ref="AI51" si="379">AI50-SUM(AI47:AI48)</f>
        <v>437476.5</v>
      </c>
      <c r="AJ51" s="569">
        <f t="shared" ref="AJ51" si="380">AJ50-SUM(AJ47:AJ48)</f>
        <v>440851</v>
      </c>
      <c r="AK51" s="569">
        <f t="shared" ref="AK51" si="381">AK50-SUM(AK47:AK48)</f>
        <v>452680.25</v>
      </c>
      <c r="AL51" s="569">
        <f t="shared" ref="AL51" si="382">AL50-SUM(AL47:AL48)</f>
        <v>472063.75</v>
      </c>
      <c r="AM51" s="569">
        <f t="shared" ref="AM51" si="383">AM50-SUM(AM47:AM48)</f>
        <v>475700.75</v>
      </c>
      <c r="AN51" s="569">
        <f t="shared" ref="AN51" si="384">AN50-SUM(AN47:AN48)</f>
        <v>480994.5</v>
      </c>
      <c r="AO51" s="569">
        <f t="shared" ref="AO51" si="385">AO50-SUM(AO47:AO48)</f>
        <v>485132.5</v>
      </c>
      <c r="AP51" s="569">
        <f t="shared" ref="AP51:BB51" si="386">AP50-SUM(AP47:AP48)</f>
        <v>493371</v>
      </c>
      <c r="AQ51" s="569">
        <f t="shared" si="386"/>
        <v>497342.75</v>
      </c>
      <c r="AR51" s="569">
        <f t="shared" si="386"/>
        <v>497234</v>
      </c>
      <c r="AS51" s="569">
        <f t="shared" si="386"/>
        <v>0</v>
      </c>
      <c r="AT51" s="569">
        <f t="shared" si="386"/>
        <v>0</v>
      </c>
      <c r="AU51" s="569">
        <f t="shared" si="386"/>
        <v>0</v>
      </c>
      <c r="AV51" s="569">
        <f t="shared" si="386"/>
        <v>0</v>
      </c>
      <c r="AW51" s="569">
        <f t="shared" si="386"/>
        <v>0</v>
      </c>
      <c r="AX51" s="569">
        <f t="shared" si="386"/>
        <v>0</v>
      </c>
      <c r="AY51" s="569">
        <f t="shared" si="386"/>
        <v>0</v>
      </c>
      <c r="AZ51" s="569">
        <f t="shared" si="386"/>
        <v>0</v>
      </c>
      <c r="BA51" s="569">
        <f t="shared" si="386"/>
        <v>0</v>
      </c>
      <c r="BB51" s="569">
        <f t="shared" si="386"/>
        <v>0</v>
      </c>
      <c r="BC51" s="567"/>
      <c r="BD51" s="567"/>
      <c r="BE51" s="567"/>
      <c r="BF51" s="567"/>
      <c r="BG51" s="567"/>
      <c r="BH51" s="567"/>
      <c r="BI51" s="567"/>
      <c r="BJ51" s="567"/>
      <c r="BK51" s="567"/>
      <c r="BL51" s="567"/>
      <c r="BM51" s="567"/>
      <c r="BN51" s="567"/>
      <c r="BO51" s="567"/>
      <c r="BP51" s="567"/>
      <c r="BQ51" s="567"/>
      <c r="BR51" s="567"/>
      <c r="BS51" s="567"/>
      <c r="BT51" s="567"/>
    </row>
    <row r="52" spans="1:72" ht="14.5">
      <c r="A52" s="567"/>
      <c r="B52" s="619" t="s">
        <v>132</v>
      </c>
      <c r="C52" s="469">
        <f t="shared" ref="C52" si="387">C49/C51-1</f>
        <v>-0.99996986680860445</v>
      </c>
      <c r="D52" s="469">
        <f t="shared" ref="D52:AB52" si="388">D50/D51-1</f>
        <v>3.1185840707964605</v>
      </c>
      <c r="E52" s="469">
        <f t="shared" si="388"/>
        <v>2.2035338354204335</v>
      </c>
      <c r="F52" s="469">
        <f t="shared" si="388"/>
        <v>1.3619981312015188</v>
      </c>
      <c r="G52" s="469">
        <f t="shared" si="388"/>
        <v>1.3649688858873552</v>
      </c>
      <c r="H52" s="469">
        <f t="shared" si="388"/>
        <v>0.53953884839960797</v>
      </c>
      <c r="I52" s="469">
        <f t="shared" si="388"/>
        <v>0.38296573999712424</v>
      </c>
      <c r="J52" s="469">
        <f t="shared" si="388"/>
        <v>0.7975558557622362</v>
      </c>
      <c r="K52" s="469">
        <f t="shared" si="388"/>
        <v>1.3145085985526417</v>
      </c>
      <c r="L52" s="469">
        <f t="shared" si="388"/>
        <v>0.69912045529373024</v>
      </c>
      <c r="M52" s="469">
        <f t="shared" si="388"/>
        <v>0.54476364527847743</v>
      </c>
      <c r="N52" s="469">
        <f t="shared" si="388"/>
        <v>0.34777630717233099</v>
      </c>
      <c r="O52" s="469">
        <f t="shared" si="388"/>
        <v>0.41020677944479034</v>
      </c>
      <c r="P52" s="469">
        <f t="shared" si="388"/>
        <v>0.28022420172564244</v>
      </c>
      <c r="Q52" s="469">
        <f t="shared" si="388"/>
        <v>0.2677804278925171</v>
      </c>
      <c r="R52" s="469">
        <f t="shared" si="388"/>
        <v>0.24119064677913116</v>
      </c>
      <c r="S52" s="469">
        <f t="shared" si="388"/>
        <v>0.22717106997603587</v>
      </c>
      <c r="T52" s="469">
        <f t="shared" si="388"/>
        <v>1.2700895374881163</v>
      </c>
      <c r="U52" s="469">
        <f t="shared" si="388"/>
        <v>0.27793493134692482</v>
      </c>
      <c r="V52" s="469">
        <f t="shared" si="388"/>
        <v>0.22835669182196217</v>
      </c>
      <c r="W52" s="469">
        <f t="shared" si="388"/>
        <v>0.14726812144231971</v>
      </c>
      <c r="X52" s="469">
        <f t="shared" si="388"/>
        <v>0.1905996386455342</v>
      </c>
      <c r="Y52" s="469">
        <f t="shared" si="388"/>
        <v>0.54391916978605548</v>
      </c>
      <c r="Z52" s="469">
        <f t="shared" si="388"/>
        <v>0.16547607978570311</v>
      </c>
      <c r="AA52" s="469">
        <f t="shared" si="388"/>
        <v>0.17187829625647333</v>
      </c>
      <c r="AB52" s="469">
        <f t="shared" si="388"/>
        <v>0.20188996841727525</v>
      </c>
      <c r="AC52" s="469">
        <f>AC50/AC51-1</f>
        <v>0.15088030172983991</v>
      </c>
      <c r="AD52" s="469">
        <f t="shared" ref="AD52:AE52" si="389">AD50/AD51-1</f>
        <v>0.17657954952290522</v>
      </c>
      <c r="AE52" s="469">
        <f t="shared" si="389"/>
        <v>2.8260891585547343E-2</v>
      </c>
      <c r="AF52" s="469">
        <f t="shared" ref="AF52" si="390">AF50/AF51-1</f>
        <v>4.0030025657376012E-2</v>
      </c>
      <c r="AG52" s="469">
        <f t="shared" ref="AG52" si="391">AG50/AG51-1</f>
        <v>1.5272456711722615E-2</v>
      </c>
      <c r="AH52" s="469">
        <f t="shared" ref="AH52" si="392">AH50/AH51-1</f>
        <v>3.8258020700650874E-2</v>
      </c>
      <c r="AI52" s="469">
        <f t="shared" ref="AI52" si="393">AI50/AI51-1</f>
        <v>4.9113495239172744E-2</v>
      </c>
      <c r="AJ52" s="469">
        <f t="shared" ref="AJ52" si="394">AJ50/AJ51-1</f>
        <v>4.9059659612885165E-2</v>
      </c>
      <c r="AK52" s="469">
        <f t="shared" ref="AK52" si="395">AK50/AK51-1</f>
        <v>5.1946158463948899E-2</v>
      </c>
      <c r="AL52" s="469">
        <f t="shared" ref="AL52" si="396">AL50/AL51-1</f>
        <v>4.6362382199438112E-2</v>
      </c>
      <c r="AM52" s="469">
        <f t="shared" ref="AM52" si="397">AM50/AM51-1</f>
        <v>5.9457547628419816E-2</v>
      </c>
      <c r="AN52" s="469">
        <f t="shared" ref="AN52" si="398">AN50/AN51-1</f>
        <v>5.1131561795405123E-2</v>
      </c>
      <c r="AO52" s="469">
        <f t="shared" ref="AO52" si="399">AO50/AO51-1</f>
        <v>4.8524887530726035E-2</v>
      </c>
      <c r="AP52" s="469">
        <f t="shared" ref="AP52:BB52" si="400">AP50/AP51-1</f>
        <v>4.2689983805290543E-2</v>
      </c>
      <c r="AQ52" s="469">
        <f t="shared" si="400"/>
        <v>4.2725062343826226E-2</v>
      </c>
      <c r="AR52" s="469">
        <f t="shared" si="400"/>
        <v>4.6527389518818074E-2</v>
      </c>
      <c r="AS52" s="469" t="e">
        <f t="shared" si="400"/>
        <v>#DIV/0!</v>
      </c>
      <c r="AT52" s="469" t="e">
        <f t="shared" si="400"/>
        <v>#DIV/0!</v>
      </c>
      <c r="AU52" s="469" t="e">
        <f t="shared" si="400"/>
        <v>#DIV/0!</v>
      </c>
      <c r="AV52" s="469" t="e">
        <f t="shared" si="400"/>
        <v>#DIV/0!</v>
      </c>
      <c r="AW52" s="469" t="e">
        <f t="shared" si="400"/>
        <v>#DIV/0!</v>
      </c>
      <c r="AX52" s="469" t="e">
        <f t="shared" si="400"/>
        <v>#DIV/0!</v>
      </c>
      <c r="AY52" s="469" t="e">
        <f t="shared" si="400"/>
        <v>#DIV/0!</v>
      </c>
      <c r="AZ52" s="469" t="e">
        <f t="shared" si="400"/>
        <v>#DIV/0!</v>
      </c>
      <c r="BA52" s="469" t="e">
        <f t="shared" si="400"/>
        <v>#DIV/0!</v>
      </c>
      <c r="BB52" s="469" t="e">
        <f t="shared" si="400"/>
        <v>#DIV/0!</v>
      </c>
      <c r="BC52" s="567"/>
      <c r="BD52" s="567"/>
      <c r="BE52" s="567"/>
      <c r="BF52" s="567"/>
      <c r="BG52" s="567"/>
      <c r="BH52" s="567"/>
      <c r="BI52" s="567"/>
      <c r="BJ52" s="567"/>
      <c r="BK52" s="567"/>
      <c r="BL52" s="567"/>
      <c r="BM52" s="567"/>
      <c r="BN52" s="567"/>
      <c r="BO52" s="567"/>
      <c r="BP52" s="567"/>
      <c r="BQ52" s="567"/>
      <c r="BR52" s="567"/>
      <c r="BS52" s="567"/>
      <c r="BT52" s="567"/>
    </row>
    <row r="53" spans="1:72">
      <c r="A53" s="567"/>
      <c r="B53" s="528" t="s">
        <v>130</v>
      </c>
      <c r="C53" s="526" t="str">
        <f t="shared" ref="C53" si="401">IF(C49&gt;=C50,"Compliant","Violation")</f>
        <v>Compliant</v>
      </c>
      <c r="D53" s="526" t="e">
        <f>IF(D49&lt;=D50,"Compliant","Violation")</f>
        <v>#DIV/0!</v>
      </c>
      <c r="E53" s="526" t="str">
        <f t="shared" ref="E53:AC53" si="402">IF(E49&lt;=E50,"Compliant","Violation")</f>
        <v>Compliant</v>
      </c>
      <c r="F53" s="526" t="str">
        <f t="shared" si="402"/>
        <v>Compliant</v>
      </c>
      <c r="G53" s="526" t="str">
        <f t="shared" si="402"/>
        <v>Compliant</v>
      </c>
      <c r="H53" s="526" t="str">
        <f t="shared" si="402"/>
        <v>Compliant</v>
      </c>
      <c r="I53" s="526" t="str">
        <f t="shared" si="402"/>
        <v>Compliant</v>
      </c>
      <c r="J53" s="526" t="str">
        <f t="shared" si="402"/>
        <v>Compliant</v>
      </c>
      <c r="K53" s="526" t="str">
        <f t="shared" si="402"/>
        <v>Compliant</v>
      </c>
      <c r="L53" s="526" t="str">
        <f t="shared" si="402"/>
        <v>Compliant</v>
      </c>
      <c r="M53" s="526" t="str">
        <f t="shared" si="402"/>
        <v>Compliant</v>
      </c>
      <c r="N53" s="526" t="str">
        <f t="shared" si="402"/>
        <v>Compliant</v>
      </c>
      <c r="O53" s="526" t="str">
        <f t="shared" si="402"/>
        <v>Compliant</v>
      </c>
      <c r="P53" s="526" t="str">
        <f t="shared" si="402"/>
        <v>Compliant</v>
      </c>
      <c r="Q53" s="526" t="str">
        <f t="shared" si="402"/>
        <v>Compliant</v>
      </c>
      <c r="R53" s="526" t="str">
        <f t="shared" si="402"/>
        <v>Compliant</v>
      </c>
      <c r="S53" s="526" t="str">
        <f t="shared" si="402"/>
        <v>Compliant</v>
      </c>
      <c r="T53" s="526" t="str">
        <f t="shared" si="402"/>
        <v>Compliant</v>
      </c>
      <c r="U53" s="526" t="str">
        <f t="shared" si="402"/>
        <v>Compliant</v>
      </c>
      <c r="V53" s="526" t="str">
        <f t="shared" si="402"/>
        <v>Compliant</v>
      </c>
      <c r="W53" s="526" t="str">
        <f t="shared" si="402"/>
        <v>Compliant</v>
      </c>
      <c r="X53" s="526" t="str">
        <f t="shared" si="402"/>
        <v>Compliant</v>
      </c>
      <c r="Y53" s="526" t="str">
        <f t="shared" si="402"/>
        <v>Compliant</v>
      </c>
      <c r="Z53" s="526" t="str">
        <f t="shared" si="402"/>
        <v>Compliant</v>
      </c>
      <c r="AA53" s="526" t="str">
        <f t="shared" si="402"/>
        <v>Compliant</v>
      </c>
      <c r="AB53" s="526" t="str">
        <f t="shared" si="402"/>
        <v>Compliant</v>
      </c>
      <c r="AC53" s="526" t="str">
        <f t="shared" si="402"/>
        <v>Compliant</v>
      </c>
      <c r="AD53" s="526" t="str">
        <f t="shared" ref="AD53:AE53" si="403">IF(AD49&lt;=AD50,"Compliant","Violation")</f>
        <v>Compliant</v>
      </c>
      <c r="AE53" s="526" t="str">
        <f t="shared" si="403"/>
        <v>Compliant</v>
      </c>
      <c r="AF53" s="526" t="str">
        <f t="shared" ref="AF53:AP53" si="404">IF(AF49&lt;=AF50,"Compliant","Violation")</f>
        <v>Compliant</v>
      </c>
      <c r="AG53" s="526" t="str">
        <f t="shared" si="404"/>
        <v>Compliant</v>
      </c>
      <c r="AH53" s="526" t="str">
        <f t="shared" si="404"/>
        <v>Compliant</v>
      </c>
      <c r="AI53" s="526" t="str">
        <f t="shared" si="404"/>
        <v>Compliant</v>
      </c>
      <c r="AJ53" s="526" t="str">
        <f t="shared" si="404"/>
        <v>Compliant</v>
      </c>
      <c r="AK53" s="526" t="str">
        <f t="shared" si="404"/>
        <v>Compliant</v>
      </c>
      <c r="AL53" s="526" t="str">
        <f t="shared" si="404"/>
        <v>Compliant</v>
      </c>
      <c r="AM53" s="526" t="str">
        <f t="shared" si="404"/>
        <v>Compliant</v>
      </c>
      <c r="AN53" s="526" t="str">
        <f t="shared" si="404"/>
        <v>Compliant</v>
      </c>
      <c r="AO53" s="526" t="str">
        <f t="shared" si="404"/>
        <v>Compliant</v>
      </c>
      <c r="AP53" s="526" t="str">
        <f t="shared" si="404"/>
        <v>Compliant</v>
      </c>
      <c r="AQ53" s="526" t="str">
        <f t="shared" ref="AQ53:BB53" si="405">IF(AQ49&lt;=AQ50,"Compliant","Violation")</f>
        <v>Compliant</v>
      </c>
      <c r="AR53" s="526" t="str">
        <f t="shared" si="405"/>
        <v>Compliant</v>
      </c>
      <c r="AS53" s="526" t="str">
        <f t="shared" si="405"/>
        <v>Compliant</v>
      </c>
      <c r="AT53" s="526" t="str">
        <f t="shared" si="405"/>
        <v>Compliant</v>
      </c>
      <c r="AU53" s="526" t="str">
        <f t="shared" si="405"/>
        <v>Compliant</v>
      </c>
      <c r="AV53" s="526" t="str">
        <f t="shared" si="405"/>
        <v>Compliant</v>
      </c>
      <c r="AW53" s="526" t="str">
        <f t="shared" si="405"/>
        <v>Compliant</v>
      </c>
      <c r="AX53" s="526" t="str">
        <f t="shared" si="405"/>
        <v>Compliant</v>
      </c>
      <c r="AY53" s="526" t="str">
        <f t="shared" si="405"/>
        <v>Compliant</v>
      </c>
      <c r="AZ53" s="526" t="str">
        <f t="shared" si="405"/>
        <v>Compliant</v>
      </c>
      <c r="BA53" s="526" t="str">
        <f t="shared" si="405"/>
        <v>Compliant</v>
      </c>
      <c r="BB53" s="526" t="str">
        <f t="shared" si="405"/>
        <v>Compliant</v>
      </c>
      <c r="BC53" s="567"/>
      <c r="BD53" s="567"/>
      <c r="BE53" s="567"/>
      <c r="BF53" s="567"/>
      <c r="BG53" s="567"/>
      <c r="BH53" s="567"/>
      <c r="BI53" s="567"/>
      <c r="BJ53" s="567"/>
      <c r="BK53" s="567"/>
      <c r="BL53" s="567"/>
      <c r="BM53" s="567"/>
      <c r="BN53" s="567"/>
      <c r="BO53" s="567"/>
      <c r="BP53" s="567"/>
      <c r="BQ53" s="567"/>
      <c r="BR53" s="567"/>
      <c r="BS53" s="567"/>
      <c r="BT53" s="567"/>
    </row>
    <row r="54" spans="1:72">
      <c r="A54" s="567"/>
      <c r="B54" s="567"/>
      <c r="C54" s="567"/>
      <c r="D54" s="567"/>
      <c r="E54" s="567"/>
      <c r="F54" s="567"/>
      <c r="G54" s="567"/>
      <c r="H54" s="567"/>
      <c r="I54" s="567"/>
      <c r="J54" s="567"/>
      <c r="K54" s="567"/>
      <c r="L54" s="567"/>
      <c r="M54" s="567"/>
      <c r="N54" s="567"/>
      <c r="O54" s="567"/>
      <c r="P54" s="567"/>
      <c r="Q54" s="567"/>
      <c r="R54" s="567"/>
      <c r="S54" s="567"/>
      <c r="T54" s="567"/>
      <c r="U54" s="567"/>
      <c r="V54" s="567"/>
      <c r="W54" s="567"/>
      <c r="X54" s="567"/>
      <c r="Y54" s="567"/>
      <c r="Z54" s="567"/>
      <c r="AA54" s="567"/>
      <c r="AB54" s="567"/>
      <c r="AC54" s="567"/>
      <c r="AD54" s="567"/>
      <c r="AE54" s="567"/>
      <c r="AF54" s="567"/>
      <c r="AG54" s="567"/>
      <c r="AH54" s="567"/>
      <c r="AI54" s="567"/>
      <c r="AJ54" s="567"/>
      <c r="AK54" s="567"/>
      <c r="AL54" s="567"/>
      <c r="AM54" s="567"/>
      <c r="AN54" s="567"/>
      <c r="AO54" s="567"/>
      <c r="AP54" s="567"/>
      <c r="AQ54" s="567"/>
      <c r="AR54" s="567"/>
      <c r="AS54" s="567"/>
      <c r="AT54" s="567"/>
      <c r="AU54" s="567"/>
      <c r="AV54" s="567"/>
      <c r="AW54" s="567"/>
      <c r="AX54" s="567"/>
      <c r="AY54" s="567"/>
      <c r="AZ54" s="567"/>
      <c r="BA54" s="567"/>
      <c r="BB54" s="567"/>
      <c r="BC54" s="567"/>
      <c r="BD54" s="567"/>
      <c r="BE54" s="567"/>
      <c r="BF54" s="567"/>
      <c r="BG54" s="567"/>
      <c r="BH54" s="567"/>
      <c r="BI54" s="567"/>
      <c r="BJ54" s="567"/>
      <c r="BK54" s="567"/>
      <c r="BL54" s="567"/>
      <c r="BM54" s="567"/>
      <c r="BN54" s="567"/>
      <c r="BO54" s="567"/>
      <c r="BP54" s="567"/>
      <c r="BQ54" s="567"/>
      <c r="BR54" s="567"/>
      <c r="BS54" s="567"/>
      <c r="BT54" s="567"/>
    </row>
    <row r="55" spans="1:72">
      <c r="A55" s="567"/>
      <c r="B55" s="164" t="s">
        <v>273</v>
      </c>
      <c r="C55" s="165">
        <f>$C$3</f>
        <v>42369</v>
      </c>
      <c r="D55" s="165">
        <f>EOMONTH(C55,3)</f>
        <v>42460</v>
      </c>
      <c r="E55" s="165">
        <f t="shared" ref="E55:S55" si="406">EOMONTH(D55,3)</f>
        <v>42551</v>
      </c>
      <c r="F55" s="165">
        <f t="shared" si="406"/>
        <v>42643</v>
      </c>
      <c r="G55" s="165">
        <f t="shared" si="406"/>
        <v>42735</v>
      </c>
      <c r="H55" s="165">
        <f t="shared" si="406"/>
        <v>42825</v>
      </c>
      <c r="I55" s="165">
        <f t="shared" si="406"/>
        <v>42916</v>
      </c>
      <c r="J55" s="165">
        <f t="shared" si="406"/>
        <v>43008</v>
      </c>
      <c r="K55" s="165">
        <f t="shared" si="406"/>
        <v>43100</v>
      </c>
      <c r="L55" s="165">
        <f t="shared" si="406"/>
        <v>43190</v>
      </c>
      <c r="M55" s="165">
        <f t="shared" ref="M55:R55" si="407">EOMONTH(L55,3)</f>
        <v>43281</v>
      </c>
      <c r="N55" s="165">
        <f t="shared" si="407"/>
        <v>43373</v>
      </c>
      <c r="O55" s="165">
        <f t="shared" si="407"/>
        <v>43465</v>
      </c>
      <c r="P55" s="165">
        <f t="shared" si="407"/>
        <v>43555</v>
      </c>
      <c r="Q55" s="165">
        <f t="shared" si="407"/>
        <v>43646</v>
      </c>
      <c r="R55" s="165">
        <f t="shared" si="407"/>
        <v>43738</v>
      </c>
      <c r="S55" s="165">
        <f t="shared" si="406"/>
        <v>43830</v>
      </c>
      <c r="T55" s="165">
        <f t="shared" ref="T55" si="408">EOMONTH(S55,3)</f>
        <v>43921</v>
      </c>
      <c r="U55" s="165">
        <f t="shared" ref="U55" si="409">EOMONTH(T55,3)</f>
        <v>44012</v>
      </c>
      <c r="V55" s="165">
        <f t="shared" ref="V55" si="410">EOMONTH(U55,3)</f>
        <v>44104</v>
      </c>
      <c r="W55" s="165">
        <f t="shared" ref="W55" si="411">EOMONTH(V55,3)</f>
        <v>44196</v>
      </c>
      <c r="X55" s="165">
        <f t="shared" ref="X55" si="412">EOMONTH(W55,3)</f>
        <v>44286</v>
      </c>
      <c r="Y55" s="165">
        <f t="shared" ref="Y55:AA55" si="413">EOMONTH(X55,3)</f>
        <v>44377</v>
      </c>
      <c r="Z55" s="165">
        <f t="shared" ref="Z55:AB55" si="414">EOMONTH(Y55,3)</f>
        <v>44469</v>
      </c>
      <c r="AA55" s="165">
        <f t="shared" si="413"/>
        <v>44561</v>
      </c>
      <c r="AB55" s="165">
        <f t="shared" si="414"/>
        <v>44651</v>
      </c>
      <c r="AC55" s="165">
        <f t="shared" ref="AC55" si="415">EOMONTH(AB55,3)</f>
        <v>44742</v>
      </c>
      <c r="AD55" s="165">
        <f t="shared" ref="AD55" si="416">EOMONTH(AC55,3)</f>
        <v>44834</v>
      </c>
      <c r="AE55" s="165">
        <f t="shared" ref="AE55" si="417">EOMONTH(AD55,3)</f>
        <v>44926</v>
      </c>
      <c r="AF55" s="165">
        <f t="shared" ref="AF55" si="418">EOMONTH(AE55,3)</f>
        <v>45016</v>
      </c>
      <c r="AG55" s="165">
        <f t="shared" ref="AG55" si="419">EOMONTH(AF55,3)</f>
        <v>45107</v>
      </c>
      <c r="AH55" s="165">
        <f t="shared" ref="AH55" si="420">EOMONTH(AG55,3)</f>
        <v>45199</v>
      </c>
      <c r="AI55" s="165">
        <f t="shared" ref="AI55" si="421">EOMONTH(AH55,3)</f>
        <v>45291</v>
      </c>
      <c r="AJ55" s="165">
        <f t="shared" ref="AJ55" si="422">EOMONTH(AI55,3)</f>
        <v>45382</v>
      </c>
      <c r="AK55" s="165">
        <f t="shared" ref="AK55" si="423">EOMONTH(AJ55,3)</f>
        <v>45473</v>
      </c>
      <c r="AL55" s="165">
        <f t="shared" ref="AL55" si="424">EOMONTH(AK55,3)</f>
        <v>45565</v>
      </c>
      <c r="AM55" s="165">
        <f t="shared" ref="AM55" si="425">EOMONTH(AL55,3)</f>
        <v>45657</v>
      </c>
      <c r="AN55" s="165">
        <f t="shared" ref="AN55" si="426">EOMONTH(AM55,3)</f>
        <v>45747</v>
      </c>
      <c r="AO55" s="165">
        <f t="shared" ref="AO55" si="427">EOMONTH(AN55,3)</f>
        <v>45838</v>
      </c>
      <c r="AP55" s="165">
        <f t="shared" ref="AP55" si="428">EOMONTH(AO55,3)</f>
        <v>45930</v>
      </c>
      <c r="AQ55" s="165">
        <f t="shared" ref="AQ55" si="429">EOMONTH(AP55,3)</f>
        <v>46022</v>
      </c>
      <c r="AR55" s="165">
        <f t="shared" ref="AR55" si="430">EOMONTH(AQ55,3)</f>
        <v>46112</v>
      </c>
      <c r="AS55" s="165">
        <f t="shared" ref="AS55" si="431">EOMONTH(AR55,3)</f>
        <v>46203</v>
      </c>
      <c r="AT55" s="165">
        <f t="shared" ref="AT55" si="432">EOMONTH(AS55,3)</f>
        <v>46295</v>
      </c>
      <c r="AU55" s="165">
        <f t="shared" ref="AU55" si="433">EOMONTH(AT55,3)</f>
        <v>46387</v>
      </c>
      <c r="AV55" s="165">
        <f t="shared" ref="AV55" si="434">EOMONTH(AU55,3)</f>
        <v>46477</v>
      </c>
      <c r="AW55" s="165">
        <f t="shared" ref="AW55" si="435">EOMONTH(AV55,3)</f>
        <v>46568</v>
      </c>
      <c r="AX55" s="165">
        <f t="shared" ref="AX55" si="436">EOMONTH(AW55,3)</f>
        <v>46660</v>
      </c>
      <c r="AY55" s="165">
        <f t="shared" ref="AY55" si="437">EOMONTH(AX55,3)</f>
        <v>46752</v>
      </c>
      <c r="AZ55" s="165">
        <f t="shared" ref="AZ55" si="438">EOMONTH(AY55,3)</f>
        <v>46843</v>
      </c>
      <c r="BA55" s="165">
        <f t="shared" ref="BA55" si="439">EOMONTH(AZ55,3)</f>
        <v>46934</v>
      </c>
      <c r="BB55" s="165">
        <f t="shared" ref="BB55" si="440">EOMONTH(BA55,3)</f>
        <v>47026</v>
      </c>
      <c r="BC55" s="567"/>
      <c r="BD55" s="567"/>
      <c r="BE55" s="567"/>
      <c r="BF55" s="567"/>
      <c r="BG55" s="567"/>
      <c r="BH55" s="567"/>
      <c r="BI55" s="567"/>
      <c r="BJ55" s="567"/>
      <c r="BK55" s="567"/>
      <c r="BL55" s="567"/>
      <c r="BM55" s="567"/>
      <c r="BN55" s="567"/>
      <c r="BO55" s="567"/>
      <c r="BP55" s="567"/>
      <c r="BQ55" s="567"/>
      <c r="BR55" s="567"/>
      <c r="BS55" s="567"/>
      <c r="BT55" s="567"/>
    </row>
    <row r="56" spans="1:72" hidden="1">
      <c r="A56" s="567"/>
      <c r="B56" s="567" t="str">
        <f>Inventory!B11</f>
        <v>Unit Closings</v>
      </c>
      <c r="C56" s="567"/>
      <c r="D56" s="567" t="e">
        <f>INDEX(Inventory!$B$8:$ZZ$11,MATCH(Inventory!$B$8:$B$11,0),MATCH(Covenants!D55,Inventory!$B$8:$ZZ$8,0))</f>
        <v>#VALUE!</v>
      </c>
      <c r="E56" s="567" t="str">
        <f>INDEX(Inventory!$B$8:$ZZ$11,MATCH($B$56,Inventory!$B$8:$B$11,0),MATCH(Covenants!E55,Inventory!$B$8:$ZZ$8,0))</f>
        <v>n/a</v>
      </c>
      <c r="F56" s="567" t="str">
        <f>INDEX(Inventory!$B$8:$ZZ$11,MATCH($B$56,Inventory!$B$8:$B$11,0),MATCH(Covenants!F55,Inventory!$B$8:$ZZ$8,0))</f>
        <v>n/a</v>
      </c>
      <c r="G56" s="567">
        <f>INDEX(Inventory!$B$8:$ZZ$11,MATCH($B$56,Inventory!$B$8:$B$11,0),MATCH(Covenants!G55,Inventory!$B$8:$ZZ$8,0))</f>
        <v>3404</v>
      </c>
      <c r="H56" s="567">
        <f>INDEX(Inventory!$B$8:$ZZ$11,MATCH($B$56,Inventory!$B$8:$B$11,0),MATCH(Covenants!H55,Inventory!$B$8:$ZZ$8,0))</f>
        <v>3404</v>
      </c>
      <c r="I56" s="567">
        <f>INDEX(Inventory!$B$8:$ZZ$11,MATCH($B$56,Inventory!$B$8:$B$11,0),MATCH(Covenants!I55,Inventory!$B$8:$ZZ$8,0))</f>
        <v>3704</v>
      </c>
      <c r="J56" s="567">
        <f>INDEX(Inventory!$B$8:$ZZ$11,MATCH($B$56,Inventory!$B$8:$B$11,0),MATCH(Covenants!J55,Inventory!$B$8:$ZZ$8,0))</f>
        <v>4381</v>
      </c>
      <c r="K56" s="567">
        <f>INDEX(Inventory!$B$8:$ZZ$11,MATCH($B$56,Inventory!$B$8:$B$11,0),MATCH(Covenants!K55,Inventory!$B$8:$ZZ$8,0))</f>
        <v>5659</v>
      </c>
      <c r="L56" s="567">
        <f>INDEX(Inventory!$B$8:$ZZ$11,MATCH($B$56,Inventory!$B$8:$B$11,0),MATCH(Covenants!L55,Inventory!$B$8:$ZZ$8,0))</f>
        <v>6059</v>
      </c>
      <c r="M56" s="567">
        <f>INDEX(Inventory!$B$8:$ZZ$11,MATCH($B$56,Inventory!$B$8:$B$11,0),MATCH(Covenants!M55,Inventory!$B$8:$ZZ$8,0))</f>
        <v>6446</v>
      </c>
      <c r="N56" s="567">
        <f>INDEX(Inventory!$B$8:$ZZ$11,MATCH($B$56,Inventory!$B$8:$B$11,0),MATCH(Covenants!N55,Inventory!$B$8:$ZZ$8,0))</f>
        <v>6446</v>
      </c>
      <c r="O56" s="567">
        <f>INDEX(Inventory!$B$8:$ZZ$11,MATCH($B$56,Inventory!$B$8:$B$11,0),MATCH(Covenants!O55,Inventory!$B$8:$ZZ$8,0))</f>
        <v>6512</v>
      </c>
      <c r="P56" s="567">
        <f>INDEX(Inventory!$B$8:$ZZ$11,MATCH($B$56,Inventory!$B$8:$B$11,0),MATCH(Covenants!P55,Inventory!$B$8:$ZZ$8,0))</f>
        <v>6496</v>
      </c>
      <c r="Q56" s="567">
        <f>INDEX(Inventory!$B$8:$ZZ$11,MATCH($B$56,Inventory!$B$8:$B$11,0),MATCH(Covenants!Q55,Inventory!$B$8:$ZZ$8,0))</f>
        <v>6496</v>
      </c>
      <c r="R56" s="567">
        <f>INDEX(Inventory!$B$8:$ZZ$11,MATCH($B$56,Inventory!$B$8:$B$11,0),MATCH(Covenants!R55,Inventory!$B$8:$ZZ$8,0))</f>
        <v>6899</v>
      </c>
      <c r="S56" s="567">
        <f>INDEX(Inventory!$B$8:$ZZ$11,MATCH($B$56,Inventory!$B$8:$B$11,0),MATCH(Covenants!S55,Inventory!$B$8:$ZZ$8,0))</f>
        <v>7690</v>
      </c>
      <c r="T56" s="567">
        <f>INDEX(Inventory!$B$8:$ZZ$11,MATCH($B$56,Inventory!$B$8:$B$11,0),MATCH(Covenants!T55,Inventory!$B$8:$ZZ$8,0))</f>
        <v>8297</v>
      </c>
      <c r="U56" s="567">
        <f>INDEX(Inventory!$B$8:$ZZ$11,MATCH($B$56,Inventory!$B$8:$B$11,0),MATCH(Covenants!U55,Inventory!$B$8:$ZZ$8,0))</f>
        <v>8426</v>
      </c>
      <c r="V56" s="567">
        <f>INDEX(Inventory!$B$8:$ZZ$11,MATCH($B$56,Inventory!$B$8:$B$11,0),MATCH(Covenants!V55,Inventory!$B$8:$ZZ$8,0))</f>
        <v>8385</v>
      </c>
      <c r="W56" s="567">
        <f>INDEX(Inventory!$B$8:$ZZ$11,MATCH($B$56,Inventory!$B$8:$B$11,0),MATCH(Covenants!W55,Inventory!$B$8:$ZZ$8,0))</f>
        <v>9339</v>
      </c>
      <c r="X56" s="567">
        <f>INDEX(Inventory!$B$8:$ZZ$11,MATCH($B$56,Inventory!$B$8:$B$11,0),MATCH(Covenants!X55,Inventory!$B$8:$ZZ$8,0))</f>
        <v>10065</v>
      </c>
      <c r="Y56" s="567">
        <f>INDEX(Inventory!$B$8:$ZZ$11,MATCH($B$56,Inventory!$B$8:$B$11,0),MATCH(Covenants!Y55,Inventory!$B$8:$ZZ$8,0))</f>
        <v>10977</v>
      </c>
      <c r="Z56" s="567">
        <f>INDEX(Inventory!$B$8:$ZZ$11,MATCH($B$56,Inventory!$B$8:$B$11,0),MATCH(Covenants!Z55,Inventory!$B$8:$ZZ$8,0))</f>
        <v>11385</v>
      </c>
      <c r="AA56" s="567">
        <f>INDEX(Inventory!$B$8:$ZZ$11,MATCH($B$56,Inventory!$B$8:$B$11,0),MATCH(Covenants!AA55,Inventory!$B$8:$ZZ$8,0))</f>
        <v>10442</v>
      </c>
      <c r="AB56" s="567">
        <f>INDEX(Inventory!$B$8:$ZZ$11,MATCH($B$56,Inventory!$B$8:$B$11,0),MATCH(Covenants!AB55,Inventory!$B$8:$ZZ$8,0))</f>
        <v>9480</v>
      </c>
      <c r="AC56" s="567">
        <f>INDEX(Inventory!$B$8:$ZZ$11,MATCH($B$56,Inventory!$B$8:$B$11,0),MATCH(Covenants!AC55,Inventory!$B$8:$ZZ$8,0))</f>
        <v>8651</v>
      </c>
      <c r="AD56" s="567">
        <f>INDEX(Inventory!$B$8:$ZZ$11,MATCH($B$56,Inventory!$B$8:$B$11,0),MATCH(Covenants!AD55,Inventory!$B$8:$ZZ$8,0))</f>
        <v>7699</v>
      </c>
      <c r="AE56" s="567">
        <f>INDEX(Inventory!$B$8:$ZZ$11,MATCH($B$56,Inventory!$B$8:$B$11,0),MATCH(Covenants!AE55,Inventory!$B$8:$ZZ$8,0))</f>
        <v>6621</v>
      </c>
      <c r="AF56" s="567">
        <f>INDEX(Inventory!$B$8:$ZZ$11,MATCH($B$56,Inventory!$B$8:$B$11,0),MATCH(Covenants!AF55,Inventory!$B$8:$ZZ$8,0))</f>
        <v>6387.9999999999991</v>
      </c>
      <c r="AG56" s="567">
        <f>INDEX(Inventory!$B$8:$ZZ$11,MATCH($B$56,Inventory!$B$8:$B$11,0),MATCH(Covenants!AG55,Inventory!$B$8:$ZZ$8,0))</f>
        <v>6215</v>
      </c>
      <c r="AH56" s="567">
        <f>INDEX(Inventory!$B$8:$ZZ$11,MATCH($B$56,Inventory!$B$8:$B$11,0),MATCH(Covenants!AH55,Inventory!$B$8:$ZZ$8,0))</f>
        <v>6419.0000000000009</v>
      </c>
      <c r="AI56" s="567">
        <f>INDEX(Inventory!$B$8:$ZZ$11,MATCH($B$56,Inventory!$B$8:$B$11,0),MATCH(Covenants!AI55,Inventory!$B$8:$ZZ$8,0))</f>
        <v>6729</v>
      </c>
      <c r="AJ56" s="567">
        <f>INDEX(Inventory!$B$8:$ZZ$11,MATCH($B$56,Inventory!$B$8:$B$11,0),MATCH(Covenants!AJ55,Inventory!$B$8:$ZZ$8,0))</f>
        <v>6446</v>
      </c>
      <c r="AK56" s="567">
        <f>INDEX(Inventory!$B$8:$ZZ$11,MATCH($B$56,Inventory!$B$8:$B$11,0),MATCH(Covenants!AK55,Inventory!$B$8:$ZZ$8,0))</f>
        <v>6247.0000000000009</v>
      </c>
      <c r="AL56" s="567"/>
      <c r="AM56" s="567"/>
      <c r="AN56" s="567"/>
      <c r="AO56" s="567"/>
      <c r="AP56" s="567"/>
      <c r="AQ56" s="567"/>
      <c r="AR56" s="567"/>
      <c r="AS56" s="567"/>
      <c r="AT56" s="567"/>
      <c r="AU56" s="567"/>
      <c r="AV56" s="567"/>
      <c r="AW56" s="567"/>
      <c r="AX56" s="567"/>
      <c r="AY56" s="567"/>
      <c r="AZ56" s="567"/>
      <c r="BA56" s="567"/>
      <c r="BB56" s="567"/>
      <c r="BC56" s="567"/>
      <c r="BD56" s="567"/>
      <c r="BE56" s="567"/>
      <c r="BF56" s="567"/>
      <c r="BG56" s="567"/>
      <c r="BH56" s="567"/>
      <c r="BI56" s="567"/>
      <c r="BJ56" s="567"/>
      <c r="BK56" s="567"/>
      <c r="BL56" s="567"/>
      <c r="BM56" s="567"/>
      <c r="BN56" s="567"/>
      <c r="BO56" s="567"/>
      <c r="BP56" s="567"/>
      <c r="BQ56" s="567"/>
      <c r="BR56" s="567"/>
      <c r="BS56" s="567"/>
      <c r="BT56" s="567"/>
    </row>
    <row r="57" spans="1:72" ht="28">
      <c r="A57" s="567"/>
      <c r="B57" s="568" t="s">
        <v>274</v>
      </c>
      <c r="C57" s="567"/>
      <c r="D57" s="567"/>
      <c r="E57" s="567"/>
      <c r="F57" s="567"/>
      <c r="G57" s="567"/>
      <c r="H57" s="567"/>
      <c r="I57" s="567"/>
      <c r="J57" s="567"/>
      <c r="K57" s="567"/>
      <c r="L57" s="567"/>
      <c r="M57" s="567"/>
      <c r="N57" s="567"/>
      <c r="O57" s="567"/>
      <c r="P57" s="567"/>
      <c r="Q57" s="567"/>
      <c r="R57" s="567"/>
      <c r="S57" s="567"/>
      <c r="T57" s="567"/>
      <c r="U57" s="567"/>
      <c r="V57" s="567"/>
      <c r="W57" s="567"/>
      <c r="X57" s="567"/>
      <c r="Y57" s="567"/>
      <c r="Z57" s="567"/>
      <c r="AA57" s="567"/>
      <c r="AB57" s="567"/>
      <c r="AC57" s="567"/>
      <c r="AD57" s="567"/>
      <c r="AE57" s="567"/>
      <c r="AF57" s="519"/>
      <c r="AG57" s="519"/>
      <c r="AH57" s="519"/>
      <c r="AI57" s="519">
        <v>3509</v>
      </c>
      <c r="AJ57" s="519">
        <v>2841</v>
      </c>
      <c r="AK57" s="519">
        <v>2738</v>
      </c>
      <c r="AL57" s="650">
        <v>3412</v>
      </c>
      <c r="AM57" s="650">
        <v>3393</v>
      </c>
      <c r="AN57" s="650">
        <v>2632</v>
      </c>
      <c r="AO57" s="650">
        <v>2319</v>
      </c>
      <c r="AP57" s="650">
        <v>2430</v>
      </c>
      <c r="AQ57" s="650">
        <v>2469</v>
      </c>
      <c r="AR57" s="650">
        <v>2450</v>
      </c>
      <c r="AS57" s="650"/>
      <c r="AT57" s="650"/>
      <c r="AU57" s="650"/>
      <c r="AV57" s="650"/>
      <c r="AW57" s="650"/>
      <c r="AX57" s="650"/>
      <c r="AY57" s="650"/>
      <c r="AZ57" s="650"/>
      <c r="BA57" s="650"/>
      <c r="BB57" s="650"/>
      <c r="BC57" s="567"/>
      <c r="BD57" s="567"/>
      <c r="BE57" s="567"/>
      <c r="BF57" s="567"/>
      <c r="BG57" s="567"/>
      <c r="BH57" s="567"/>
      <c r="BI57" s="567"/>
      <c r="BJ57" s="567"/>
      <c r="BK57" s="567"/>
      <c r="BL57" s="567"/>
      <c r="BM57" s="567"/>
      <c r="BN57" s="567"/>
      <c r="BO57" s="567"/>
      <c r="BP57" s="567"/>
      <c r="BQ57" s="567"/>
      <c r="BR57" s="567"/>
      <c r="BS57" s="567"/>
      <c r="BT57" s="567"/>
    </row>
    <row r="58" spans="1:72">
      <c r="A58" s="567"/>
      <c r="B58" s="568" t="s">
        <v>275</v>
      </c>
      <c r="C58" s="567"/>
      <c r="D58" s="567"/>
      <c r="E58" s="567"/>
      <c r="F58" s="567"/>
      <c r="G58" s="567"/>
      <c r="H58" s="567"/>
      <c r="I58" s="567"/>
      <c r="J58" s="567"/>
      <c r="K58" s="567"/>
      <c r="L58" s="567"/>
      <c r="M58" s="567"/>
      <c r="N58" s="567"/>
      <c r="O58" s="567"/>
      <c r="P58" s="567"/>
      <c r="Q58" s="567"/>
      <c r="R58" s="567"/>
      <c r="S58" s="567"/>
      <c r="T58" s="567"/>
      <c r="U58" s="567"/>
      <c r="V58" s="567"/>
      <c r="W58" s="567"/>
      <c r="X58" s="567"/>
      <c r="Y58" s="567"/>
      <c r="Z58" s="567"/>
      <c r="AA58" s="567"/>
      <c r="AB58" s="567"/>
      <c r="AC58" s="567"/>
      <c r="AD58" s="567"/>
      <c r="AE58" s="567"/>
      <c r="AF58" s="652"/>
      <c r="AG58" s="652"/>
      <c r="AH58" s="652"/>
      <c r="AI58" s="652">
        <f t="shared" ref="AI58:AK58" si="441">AI57*2</f>
        <v>7018</v>
      </c>
      <c r="AJ58" s="652">
        <f t="shared" si="441"/>
        <v>5682</v>
      </c>
      <c r="AK58" s="652">
        <f t="shared" si="441"/>
        <v>5476</v>
      </c>
      <c r="AL58" s="652">
        <f>AL57*2</f>
        <v>6824</v>
      </c>
      <c r="AM58" s="652">
        <f t="shared" ref="AM58:AP58" si="442">AM57*2</f>
        <v>6786</v>
      </c>
      <c r="AN58" s="652">
        <f t="shared" si="442"/>
        <v>5264</v>
      </c>
      <c r="AO58" s="652">
        <f t="shared" si="442"/>
        <v>4638</v>
      </c>
      <c r="AP58" s="652">
        <f t="shared" si="442"/>
        <v>4860</v>
      </c>
      <c r="AQ58" s="652">
        <f t="shared" ref="AQ58:BB58" si="443">AQ57*2</f>
        <v>4938</v>
      </c>
      <c r="AR58" s="652">
        <f t="shared" si="443"/>
        <v>4900</v>
      </c>
      <c r="AS58" s="652">
        <f t="shared" si="443"/>
        <v>0</v>
      </c>
      <c r="AT58" s="652">
        <f t="shared" si="443"/>
        <v>0</v>
      </c>
      <c r="AU58" s="652">
        <f t="shared" si="443"/>
        <v>0</v>
      </c>
      <c r="AV58" s="652">
        <f t="shared" si="443"/>
        <v>0</v>
      </c>
      <c r="AW58" s="652">
        <f t="shared" si="443"/>
        <v>0</v>
      </c>
      <c r="AX58" s="652">
        <f t="shared" si="443"/>
        <v>0</v>
      </c>
      <c r="AY58" s="652">
        <f t="shared" si="443"/>
        <v>0</v>
      </c>
      <c r="AZ58" s="652">
        <f t="shared" si="443"/>
        <v>0</v>
      </c>
      <c r="BA58" s="652">
        <f t="shared" si="443"/>
        <v>0</v>
      </c>
      <c r="BB58" s="652">
        <f t="shared" si="443"/>
        <v>0</v>
      </c>
      <c r="BC58" s="567"/>
      <c r="BD58" s="567"/>
      <c r="BE58" s="567"/>
      <c r="BF58" s="567"/>
      <c r="BG58" s="567"/>
      <c r="BH58" s="567"/>
      <c r="BI58" s="567"/>
      <c r="BJ58" s="567"/>
      <c r="BK58" s="567"/>
      <c r="BL58" s="567"/>
      <c r="BM58" s="567"/>
      <c r="BN58" s="567"/>
      <c r="BO58" s="567"/>
      <c r="BP58" s="567"/>
      <c r="BQ58" s="567"/>
      <c r="BR58" s="567"/>
      <c r="BS58" s="567"/>
      <c r="BT58" s="567"/>
    </row>
    <row r="59" spans="1:72" ht="28">
      <c r="A59" s="567"/>
      <c r="B59" s="568" t="s">
        <v>276</v>
      </c>
      <c r="C59" s="567"/>
      <c r="D59" s="567"/>
      <c r="E59" s="567"/>
      <c r="F59" s="567"/>
      <c r="G59" s="567"/>
      <c r="H59" s="567"/>
      <c r="I59" s="567"/>
      <c r="J59" s="567"/>
      <c r="K59" s="567"/>
      <c r="L59" s="567"/>
      <c r="M59" s="567"/>
      <c r="N59" s="567"/>
      <c r="O59" s="567"/>
      <c r="P59" s="567"/>
      <c r="Q59" s="567"/>
      <c r="R59" s="567"/>
      <c r="S59" s="567"/>
      <c r="T59" s="567"/>
      <c r="U59" s="567"/>
      <c r="V59" s="567"/>
      <c r="W59" s="567"/>
      <c r="X59" s="567"/>
      <c r="Y59" s="567"/>
      <c r="Z59" s="567"/>
      <c r="AA59" s="567"/>
      <c r="AB59" s="567"/>
      <c r="AC59" s="567"/>
      <c r="AD59" s="567"/>
      <c r="AE59" s="567"/>
      <c r="AF59" s="519"/>
      <c r="AG59" s="519"/>
      <c r="AH59" s="519"/>
      <c r="AI59" s="519">
        <v>6729</v>
      </c>
      <c r="AJ59" s="519">
        <v>6446</v>
      </c>
      <c r="AK59" s="519">
        <v>6247</v>
      </c>
      <c r="AL59" s="650">
        <v>6253</v>
      </c>
      <c r="AM59" s="650">
        <v>6131</v>
      </c>
      <c r="AN59" s="650">
        <v>6044</v>
      </c>
      <c r="AO59" s="650">
        <v>5712</v>
      </c>
      <c r="AP59" s="650">
        <v>5062</v>
      </c>
      <c r="AQ59" s="650">
        <v>4788</v>
      </c>
      <c r="AR59" s="650">
        <v>4334</v>
      </c>
      <c r="AS59" s="650"/>
      <c r="AT59" s="650"/>
      <c r="AU59" s="650"/>
      <c r="AV59" s="650"/>
      <c r="AW59" s="650"/>
      <c r="AX59" s="650"/>
      <c r="AY59" s="650"/>
      <c r="AZ59" s="650"/>
      <c r="BA59" s="650"/>
      <c r="BB59" s="650"/>
      <c r="BC59" s="567"/>
      <c r="BD59" s="567"/>
      <c r="BE59" s="567"/>
      <c r="BF59" s="567"/>
      <c r="BG59" s="567"/>
      <c r="BH59" s="567"/>
      <c r="BI59" s="567"/>
      <c r="BJ59" s="567"/>
      <c r="BK59" s="567"/>
      <c r="BL59" s="567"/>
      <c r="BM59" s="567"/>
      <c r="BN59" s="567"/>
      <c r="BO59" s="567"/>
      <c r="BP59" s="567"/>
      <c r="BQ59" s="567"/>
      <c r="BR59" s="567"/>
      <c r="BS59" s="567"/>
      <c r="BT59" s="567"/>
    </row>
    <row r="60" spans="1:72" ht="28">
      <c r="A60" s="567"/>
      <c r="B60" s="568" t="s">
        <v>277</v>
      </c>
      <c r="C60" s="567"/>
      <c r="D60" s="567"/>
      <c r="E60" s="567"/>
      <c r="F60" s="567"/>
      <c r="G60" s="567"/>
      <c r="H60" s="567"/>
      <c r="I60" s="567"/>
      <c r="J60" s="567"/>
      <c r="K60" s="567"/>
      <c r="L60" s="567"/>
      <c r="M60" s="567"/>
      <c r="N60" s="567"/>
      <c r="O60" s="567"/>
      <c r="P60" s="567"/>
      <c r="Q60" s="567"/>
      <c r="R60" s="567"/>
      <c r="S60" s="567"/>
      <c r="T60" s="567"/>
      <c r="U60" s="567"/>
      <c r="V60" s="567"/>
      <c r="W60" s="567"/>
      <c r="X60" s="567"/>
      <c r="Y60" s="567"/>
      <c r="Z60" s="567"/>
      <c r="AA60" s="567"/>
      <c r="AB60" s="567"/>
      <c r="AC60" s="567"/>
      <c r="AD60" s="567"/>
      <c r="AE60" s="567"/>
      <c r="AF60" s="519"/>
      <c r="AG60" s="519"/>
      <c r="AH60" s="519"/>
      <c r="AI60" s="519">
        <v>3068</v>
      </c>
      <c r="AJ60" s="519">
        <v>3223</v>
      </c>
      <c r="AK60" s="519">
        <v>3046</v>
      </c>
      <c r="AL60" s="650">
        <v>3420</v>
      </c>
      <c r="AM60" s="650">
        <v>3504</v>
      </c>
      <c r="AN60" s="650">
        <v>3250</v>
      </c>
      <c r="AO60" s="650">
        <v>3214</v>
      </c>
      <c r="AP60" s="650">
        <v>2413</v>
      </c>
      <c r="AQ60" s="650">
        <v>3112</v>
      </c>
      <c r="AR60" s="650">
        <v>1820</v>
      </c>
      <c r="AS60" s="650"/>
      <c r="AT60" s="650"/>
      <c r="AU60" s="650"/>
      <c r="AV60" s="650"/>
      <c r="AW60" s="650"/>
      <c r="AX60" s="650"/>
      <c r="AY60" s="650"/>
      <c r="AZ60" s="650"/>
      <c r="BA60" s="650"/>
      <c r="BB60" s="650"/>
      <c r="BC60" s="567"/>
      <c r="BD60" s="567"/>
      <c r="BE60" s="567"/>
      <c r="BF60" s="567"/>
      <c r="BG60" s="567"/>
      <c r="BH60" s="567"/>
      <c r="BI60" s="567"/>
      <c r="BJ60" s="567"/>
      <c r="BK60" s="567"/>
      <c r="BL60" s="567"/>
      <c r="BM60" s="567"/>
      <c r="BN60" s="567"/>
      <c r="BO60" s="567"/>
      <c r="BP60" s="567"/>
      <c r="BQ60" s="567"/>
      <c r="BR60" s="567"/>
      <c r="BS60" s="567"/>
      <c r="BT60" s="567"/>
    </row>
    <row r="61" spans="1:72">
      <c r="A61" s="567"/>
      <c r="B61" s="568" t="s">
        <v>278</v>
      </c>
      <c r="C61" s="567"/>
      <c r="D61" s="567"/>
      <c r="E61" s="567"/>
      <c r="F61" s="567"/>
      <c r="G61" s="567"/>
      <c r="H61" s="567"/>
      <c r="I61" s="567"/>
      <c r="J61" s="567"/>
      <c r="K61" s="567"/>
      <c r="L61" s="567"/>
      <c r="M61" s="567"/>
      <c r="N61" s="567"/>
      <c r="O61" s="567"/>
      <c r="P61" s="567"/>
      <c r="Q61" s="567"/>
      <c r="R61" s="567"/>
      <c r="S61" s="567"/>
      <c r="T61" s="567"/>
      <c r="U61" s="567"/>
      <c r="V61" s="567"/>
      <c r="W61" s="567"/>
      <c r="X61" s="567"/>
      <c r="Y61" s="567"/>
      <c r="Z61" s="567"/>
      <c r="AA61" s="567"/>
      <c r="AB61" s="567"/>
      <c r="AC61" s="567"/>
      <c r="AD61" s="567"/>
      <c r="AE61" s="567"/>
      <c r="AF61" s="567"/>
      <c r="AG61" s="567"/>
      <c r="AH61" s="567"/>
      <c r="AI61" s="652">
        <f t="shared" ref="AI61:AK61" si="444">IF(AI58*65%&gt;AI59*65%,AI58,AI59)</f>
        <v>7018</v>
      </c>
      <c r="AJ61" s="652">
        <f t="shared" si="444"/>
        <v>6446</v>
      </c>
      <c r="AK61" s="652">
        <f t="shared" si="444"/>
        <v>6247</v>
      </c>
      <c r="AL61" s="652">
        <f>IF(AL58*65%&gt;AL59*65%,AL58,AL59)</f>
        <v>6824</v>
      </c>
      <c r="AM61" s="652">
        <f>IF(AM58*65%&gt;AM59*65%,AM58,AM59)</f>
        <v>6786</v>
      </c>
      <c r="AN61" s="652">
        <f t="shared" ref="AN61:AP61" si="445">IF(AN58*65%&gt;AN59*65%,AN58,AN59)</f>
        <v>6044</v>
      </c>
      <c r="AO61" s="652">
        <f t="shared" si="445"/>
        <v>5712</v>
      </c>
      <c r="AP61" s="652">
        <f t="shared" si="445"/>
        <v>5062</v>
      </c>
      <c r="AQ61" s="652">
        <f t="shared" ref="AQ61:BB61" si="446">IF(AQ58*65%&gt;AQ59*65%,AQ58,AQ59)</f>
        <v>4938</v>
      </c>
      <c r="AR61" s="652">
        <f t="shared" si="446"/>
        <v>4900</v>
      </c>
      <c r="AS61" s="652">
        <f t="shared" si="446"/>
        <v>0</v>
      </c>
      <c r="AT61" s="652">
        <f t="shared" si="446"/>
        <v>0</v>
      </c>
      <c r="AU61" s="652">
        <f t="shared" si="446"/>
        <v>0</v>
      </c>
      <c r="AV61" s="652">
        <f t="shared" si="446"/>
        <v>0</v>
      </c>
      <c r="AW61" s="652">
        <f t="shared" si="446"/>
        <v>0</v>
      </c>
      <c r="AX61" s="652">
        <f t="shared" si="446"/>
        <v>0</v>
      </c>
      <c r="AY61" s="652">
        <f t="shared" si="446"/>
        <v>0</v>
      </c>
      <c r="AZ61" s="652">
        <f t="shared" si="446"/>
        <v>0</v>
      </c>
      <c r="BA61" s="652">
        <f t="shared" si="446"/>
        <v>0</v>
      </c>
      <c r="BB61" s="652">
        <f t="shared" si="446"/>
        <v>0</v>
      </c>
      <c r="BC61" s="567"/>
      <c r="BD61" s="567"/>
      <c r="BE61" s="567"/>
      <c r="BF61" s="567"/>
      <c r="BG61" s="567"/>
      <c r="BH61" s="567"/>
      <c r="BI61" s="567"/>
      <c r="BJ61" s="567"/>
      <c r="BK61" s="567"/>
      <c r="BL61" s="567"/>
      <c r="BM61" s="567"/>
      <c r="BN61" s="567"/>
      <c r="BO61" s="567"/>
      <c r="BP61" s="567"/>
      <c r="BQ61" s="567"/>
      <c r="BR61" s="567"/>
      <c r="BS61" s="567"/>
      <c r="BT61" s="567"/>
    </row>
    <row r="62" spans="1:72" s="519" customFormat="1" hidden="1">
      <c r="B62" s="519" t="s">
        <v>279</v>
      </c>
      <c r="X62" s="519">
        <v>283</v>
      </c>
      <c r="Y62" s="519">
        <v>430</v>
      </c>
      <c r="Z62" s="519">
        <v>433</v>
      </c>
      <c r="AA62" s="519">
        <f>1515-SUM(X62:Z62)</f>
        <v>369</v>
      </c>
      <c r="AB62" s="519">
        <v>213</v>
      </c>
      <c r="AC62" s="519">
        <v>146</v>
      </c>
      <c r="AD62" s="519">
        <v>443</v>
      </c>
      <c r="AE62" s="519">
        <f>1233-SUM(AB62:AD62)</f>
        <v>431</v>
      </c>
      <c r="AF62" s="519">
        <f>1123-SUM(AC62:AE62)</f>
        <v>103</v>
      </c>
      <c r="AG62" s="519">
        <f>1116-SUM(AD62:AF62)</f>
        <v>139</v>
      </c>
      <c r="AH62" s="519">
        <f>812-SUM(AD62:AG62)</f>
        <v>-304</v>
      </c>
      <c r="AI62" s="519">
        <f>679-SUM(AE62:AH62)</f>
        <v>310</v>
      </c>
      <c r="AJ62" s="519">
        <f>678-SUM(AF62:AI62)</f>
        <v>430</v>
      </c>
      <c r="AK62" s="519">
        <f>656-SUM(AG62:AJ62)</f>
        <v>81</v>
      </c>
      <c r="AN62" s="646"/>
    </row>
    <row r="63" spans="1:72" hidden="1">
      <c r="A63" s="567"/>
      <c r="B63" s="567" t="s">
        <v>199</v>
      </c>
      <c r="C63" s="567"/>
      <c r="D63" s="567">
        <f>INDEX(Inventory!$B$19:$ZZ$28,MATCH(Covenants!$B$63,Inventory!$B$19:$B$28,0),MATCH(D$55,Inventory!$B$19:$ZZ$19,0))</f>
        <v>0</v>
      </c>
      <c r="E63" s="567">
        <f>INDEX(Inventory!$B$19:$ZZ$28,MATCH(Covenants!$B$63,Inventory!$B$19:$B$28,0),MATCH(E$55,Inventory!$B$19:$ZZ$19,0))</f>
        <v>0</v>
      </c>
      <c r="F63" s="567">
        <f>INDEX(Inventory!$B$19:$ZZ$28,MATCH(Covenants!$B$63,Inventory!$B$19:$B$28,0),MATCH(F$55,Inventory!$B$19:$ZZ$19,0))</f>
        <v>0</v>
      </c>
      <c r="G63" s="567">
        <f>INDEX(Inventory!$B$19:$ZZ$28,MATCH(Covenants!$B$63,Inventory!$B$19:$B$28,0),MATCH(G$55,Inventory!$B$19:$ZZ$19,0))</f>
        <v>0</v>
      </c>
      <c r="H63" s="567">
        <f>INDEX(Inventory!$B$19:$ZZ$28,MATCH(Covenants!$B$63,Inventory!$B$19:$B$28,0),MATCH(H$55,Inventory!$B$19:$ZZ$19,0))</f>
        <v>0</v>
      </c>
      <c r="I63" s="567">
        <f>INDEX(Inventory!$B$19:$ZZ$28,MATCH(Covenants!$B$63,Inventory!$B$19:$B$28,0),MATCH(I$55,Inventory!$B$19:$ZZ$19,0))</f>
        <v>0</v>
      </c>
      <c r="J63" s="567">
        <f>INDEX(Inventory!$B$19:$ZZ$28,MATCH(Covenants!$B$63,Inventory!$B$19:$B$28,0),MATCH(J$55,Inventory!$B$19:$ZZ$19,0))</f>
        <v>0</v>
      </c>
      <c r="K63" s="567">
        <f>INDEX(Inventory!$B$19:$ZZ$28,MATCH(Covenants!$B$63,Inventory!$B$19:$B$28,0),MATCH(K$55,Inventory!$B$19:$ZZ$19,0))</f>
        <v>0</v>
      </c>
      <c r="L63" s="567">
        <f>INDEX(Inventory!$B$19:$ZZ$28,MATCH(Covenants!$B$63,Inventory!$B$19:$B$28,0),MATCH(L$55,Inventory!$B$19:$ZZ$19,0))</f>
        <v>0</v>
      </c>
      <c r="M63" s="567">
        <f>INDEX(Inventory!$B$19:$ZZ$28,MATCH(Covenants!$B$63,Inventory!$B$19:$B$28,0),MATCH(M$55,Inventory!$B$19:$ZZ$19,0))</f>
        <v>0</v>
      </c>
      <c r="N63" s="567">
        <f>INDEX(Inventory!$B$19:$ZZ$28,MATCH(Covenants!$B$63,Inventory!$B$19:$B$28,0),MATCH(N$55,Inventory!$B$19:$ZZ$19,0))</f>
        <v>0</v>
      </c>
      <c r="O63" s="567">
        <f>INDEX(Inventory!$B$19:$ZZ$28,MATCH(Covenants!$B$63,Inventory!$B$19:$B$28,0),MATCH(O$55,Inventory!$B$19:$ZZ$19,0))</f>
        <v>0</v>
      </c>
      <c r="P63" s="567">
        <f>INDEX(Inventory!$B$19:$ZZ$28,MATCH(Covenants!$B$63,Inventory!$B$19:$B$28,0),MATCH(P$55,Inventory!$B$19:$ZZ$19,0))</f>
        <v>0</v>
      </c>
      <c r="Q63" s="567">
        <f>INDEX(Inventory!$B$19:$ZZ$28,MATCH(Covenants!$B$63,Inventory!$B$19:$B$28,0),MATCH(Q$55,Inventory!$B$19:$ZZ$19,0))</f>
        <v>0</v>
      </c>
      <c r="R63" s="567">
        <f>INDEX(Inventory!$B$19:$ZZ$28,MATCH(Covenants!$B$63,Inventory!$B$19:$B$28,0),MATCH(R$55,Inventory!$B$19:$ZZ$19,0))</f>
        <v>0</v>
      </c>
      <c r="S63" s="567">
        <f>INDEX(Inventory!$B$19:$ZZ$28,MATCH(Covenants!$B$63,Inventory!$B$19:$B$28,0),MATCH(S$55,Inventory!$B$19:$ZZ$19,0))</f>
        <v>0</v>
      </c>
      <c r="T63" s="567">
        <f>INDEX(Inventory!$B$19:$ZZ$28,MATCH(Covenants!$B$63,Inventory!$B$19:$B$28,0),MATCH(T$55,Inventory!$B$19:$ZZ$19,0))</f>
        <v>0</v>
      </c>
      <c r="U63" s="567">
        <f>INDEX(Inventory!$B$19:$ZZ$28,MATCH(Covenants!$B$63,Inventory!$B$19:$B$28,0),MATCH(U$55,Inventory!$B$19:$ZZ$19,0))</f>
        <v>0</v>
      </c>
      <c r="V63" s="567">
        <f>INDEX(Inventory!$B$19:$ZZ$28,MATCH(Covenants!$B$63,Inventory!$B$19:$B$28,0),MATCH(V$55,Inventory!$B$19:$ZZ$19,0))</f>
        <v>0</v>
      </c>
      <c r="W63" s="567">
        <f>INDEX(Inventory!$B$19:$ZZ$28,MATCH(Covenants!$B$63,Inventory!$B$19:$B$28,0),MATCH(W$55,Inventory!$B$19:$ZZ$19,0))</f>
        <v>0</v>
      </c>
      <c r="X63" s="567">
        <f t="shared" ref="X63:AC63" si="447">SUM(U62:X62)</f>
        <v>283</v>
      </c>
      <c r="Y63" s="567">
        <f t="shared" si="447"/>
        <v>713</v>
      </c>
      <c r="Z63" s="567">
        <f t="shared" si="447"/>
        <v>1146</v>
      </c>
      <c r="AA63" s="567">
        <f t="shared" si="447"/>
        <v>1515</v>
      </c>
      <c r="AB63" s="567">
        <f>SUM(Y62:AB62)</f>
        <v>1445</v>
      </c>
      <c r="AC63" s="567">
        <f t="shared" si="447"/>
        <v>1161</v>
      </c>
      <c r="AD63" s="567">
        <f t="shared" ref="AD63" si="448">SUM(AA62:AD62)</f>
        <v>1171</v>
      </c>
      <c r="AE63" s="567">
        <f t="shared" ref="AE63" si="449">SUM(AB62:AE62)</f>
        <v>1233</v>
      </c>
      <c r="AF63" s="567">
        <f t="shared" ref="AF63" si="450">SUM(AC62:AF62)</f>
        <v>1123</v>
      </c>
      <c r="AG63" s="567">
        <f t="shared" ref="AG63" si="451">SUM(AD62:AG62)</f>
        <v>1116</v>
      </c>
      <c r="AH63" s="567">
        <f t="shared" ref="AH63" si="452">SUM(AE62:AH62)</f>
        <v>369</v>
      </c>
      <c r="AI63" s="567">
        <f t="shared" ref="AI63" si="453">SUM(AF62:AI62)</f>
        <v>248</v>
      </c>
      <c r="AJ63" s="567">
        <f t="shared" ref="AJ63" si="454">SUM(AG62:AJ62)</f>
        <v>575</v>
      </c>
      <c r="AK63" s="567">
        <f>SUM(AH62:AK62)</f>
        <v>517</v>
      </c>
      <c r="AL63" s="567"/>
      <c r="AM63" s="567"/>
      <c r="AN63" s="567"/>
      <c r="AO63" s="567"/>
      <c r="AP63" s="567"/>
      <c r="AQ63" s="567"/>
      <c r="AR63" s="567"/>
      <c r="AS63" s="567"/>
      <c r="AT63" s="567"/>
      <c r="AU63" s="567"/>
      <c r="AV63" s="567"/>
      <c r="AW63" s="567"/>
      <c r="AX63" s="567"/>
      <c r="AY63" s="567"/>
      <c r="AZ63" s="567"/>
      <c r="BA63" s="567"/>
      <c r="BB63" s="567"/>
      <c r="BC63" s="567"/>
      <c r="BD63" s="567"/>
      <c r="BE63" s="567"/>
      <c r="BF63" s="567"/>
      <c r="BG63" s="567"/>
      <c r="BH63" s="567"/>
      <c r="BI63" s="567"/>
      <c r="BJ63" s="567"/>
      <c r="BK63" s="567"/>
      <c r="BL63" s="567"/>
      <c r="BM63" s="567"/>
      <c r="BN63" s="567"/>
      <c r="BO63" s="567"/>
      <c r="BP63" s="567"/>
      <c r="BQ63" s="567"/>
      <c r="BR63" s="567"/>
      <c r="BS63" s="567"/>
      <c r="BT63" s="567"/>
    </row>
    <row r="64" spans="1:72">
      <c r="A64" s="567"/>
      <c r="B64" s="401" t="s">
        <v>280</v>
      </c>
      <c r="C64" s="620"/>
      <c r="D64" s="620"/>
      <c r="E64" s="620"/>
      <c r="F64" s="620"/>
      <c r="G64" s="403">
        <f t="shared" ref="G64:AH64" si="455">G63/G56</f>
        <v>0</v>
      </c>
      <c r="H64" s="403">
        <f t="shared" si="455"/>
        <v>0</v>
      </c>
      <c r="I64" s="403">
        <f t="shared" si="455"/>
        <v>0</v>
      </c>
      <c r="J64" s="403">
        <f t="shared" si="455"/>
        <v>0</v>
      </c>
      <c r="K64" s="403">
        <f t="shared" si="455"/>
        <v>0</v>
      </c>
      <c r="L64" s="403">
        <f t="shared" si="455"/>
        <v>0</v>
      </c>
      <c r="M64" s="403">
        <f t="shared" si="455"/>
        <v>0</v>
      </c>
      <c r="N64" s="403">
        <f t="shared" si="455"/>
        <v>0</v>
      </c>
      <c r="O64" s="403">
        <f t="shared" si="455"/>
        <v>0</v>
      </c>
      <c r="P64" s="403">
        <f t="shared" si="455"/>
        <v>0</v>
      </c>
      <c r="Q64" s="403">
        <f t="shared" si="455"/>
        <v>0</v>
      </c>
      <c r="R64" s="403">
        <f t="shared" si="455"/>
        <v>0</v>
      </c>
      <c r="S64" s="403">
        <f t="shared" si="455"/>
        <v>0</v>
      </c>
      <c r="T64" s="403">
        <f t="shared" si="455"/>
        <v>0</v>
      </c>
      <c r="U64" s="403">
        <f t="shared" si="455"/>
        <v>0</v>
      </c>
      <c r="V64" s="403">
        <f t="shared" si="455"/>
        <v>0</v>
      </c>
      <c r="W64" s="403">
        <f t="shared" si="455"/>
        <v>0</v>
      </c>
      <c r="X64" s="403">
        <f t="shared" si="455"/>
        <v>2.8117237953303526E-2</v>
      </c>
      <c r="Y64" s="403">
        <f t="shared" si="455"/>
        <v>6.495399471622483E-2</v>
      </c>
      <c r="Z64" s="403">
        <f t="shared" si="455"/>
        <v>0.10065876152832674</v>
      </c>
      <c r="AA64" s="403">
        <f t="shared" si="455"/>
        <v>0.14508714805592798</v>
      </c>
      <c r="AB64" s="403">
        <f t="shared" si="455"/>
        <v>0.15242616033755274</v>
      </c>
      <c r="AC64" s="403">
        <f t="shared" si="455"/>
        <v>0.13420413824991331</v>
      </c>
      <c r="AD64" s="403">
        <f t="shared" si="455"/>
        <v>0.15209767502273022</v>
      </c>
      <c r="AE64" s="403">
        <f t="shared" si="455"/>
        <v>0.1862256456728591</v>
      </c>
      <c r="AF64" s="403">
        <f t="shared" si="455"/>
        <v>0.17579837194740142</v>
      </c>
      <c r="AG64" s="403">
        <f t="shared" si="455"/>
        <v>0.17956556717618666</v>
      </c>
      <c r="AH64" s="403">
        <f t="shared" si="455"/>
        <v>5.7485589655709601E-2</v>
      </c>
      <c r="AI64" s="651">
        <f t="shared" ref="AI64:AK64" si="456">AI61*65%</f>
        <v>4561.7</v>
      </c>
      <c r="AJ64" s="651">
        <f t="shared" si="456"/>
        <v>4189.9000000000005</v>
      </c>
      <c r="AK64" s="651">
        <f t="shared" si="456"/>
        <v>4060.55</v>
      </c>
      <c r="AL64" s="651">
        <f>AL61*65%</f>
        <v>4435.6000000000004</v>
      </c>
      <c r="AM64" s="666">
        <f t="shared" ref="AM64:AP64" si="457">AM61*65%</f>
        <v>4410.9000000000005</v>
      </c>
      <c r="AN64" s="651">
        <f t="shared" si="457"/>
        <v>3928.6</v>
      </c>
      <c r="AO64" s="651">
        <f t="shared" si="457"/>
        <v>3712.8</v>
      </c>
      <c r="AP64" s="651">
        <f t="shared" si="457"/>
        <v>3290.3</v>
      </c>
      <c r="AQ64" s="651">
        <f t="shared" ref="AQ64:BB64" si="458">AQ61*65%</f>
        <v>3209.7000000000003</v>
      </c>
      <c r="AR64" s="651">
        <f t="shared" si="458"/>
        <v>3185</v>
      </c>
      <c r="AS64" s="651">
        <f t="shared" si="458"/>
        <v>0</v>
      </c>
      <c r="AT64" s="651">
        <f t="shared" si="458"/>
        <v>0</v>
      </c>
      <c r="AU64" s="651">
        <f t="shared" si="458"/>
        <v>0</v>
      </c>
      <c r="AV64" s="651">
        <f t="shared" si="458"/>
        <v>0</v>
      </c>
      <c r="AW64" s="651">
        <f t="shared" si="458"/>
        <v>0</v>
      </c>
      <c r="AX64" s="651">
        <f t="shared" si="458"/>
        <v>0</v>
      </c>
      <c r="AY64" s="651">
        <f t="shared" si="458"/>
        <v>0</v>
      </c>
      <c r="AZ64" s="651">
        <f t="shared" si="458"/>
        <v>0</v>
      </c>
      <c r="BA64" s="651">
        <f t="shared" si="458"/>
        <v>0</v>
      </c>
      <c r="BB64" s="651">
        <f t="shared" si="458"/>
        <v>0</v>
      </c>
      <c r="BC64" s="567"/>
      <c r="BD64" s="567"/>
      <c r="BE64" s="567"/>
      <c r="BF64" s="567"/>
      <c r="BG64" s="567"/>
      <c r="BH64" s="567"/>
      <c r="BI64" s="567"/>
      <c r="BJ64" s="567"/>
      <c r="BK64" s="567"/>
      <c r="BL64" s="567"/>
      <c r="BM64" s="567"/>
      <c r="BN64" s="567"/>
      <c r="BO64" s="567"/>
      <c r="BP64" s="567"/>
      <c r="BQ64" s="567"/>
      <c r="BR64" s="567"/>
      <c r="BS64" s="567"/>
      <c r="BT64" s="567"/>
    </row>
    <row r="65" spans="1:72">
      <c r="A65" s="567"/>
      <c r="B65" s="105" t="s">
        <v>129</v>
      </c>
      <c r="C65" s="529" t="s">
        <v>21</v>
      </c>
      <c r="D65" s="529" t="s">
        <v>21</v>
      </c>
      <c r="E65" s="529" t="s">
        <v>21</v>
      </c>
      <c r="F65" s="529" t="s">
        <v>21</v>
      </c>
      <c r="G65" s="529" t="s">
        <v>21</v>
      </c>
      <c r="H65" s="529" t="s">
        <v>21</v>
      </c>
      <c r="I65" s="529" t="s">
        <v>21</v>
      </c>
      <c r="J65" s="529" t="s">
        <v>21</v>
      </c>
      <c r="K65" s="529" t="s">
        <v>21</v>
      </c>
      <c r="L65" s="529" t="s">
        <v>21</v>
      </c>
      <c r="M65" s="529" t="s">
        <v>21</v>
      </c>
      <c r="N65" s="529" t="s">
        <v>21</v>
      </c>
      <c r="O65" s="529" t="s">
        <v>21</v>
      </c>
      <c r="P65" s="529" t="s">
        <v>21</v>
      </c>
      <c r="Q65" s="529" t="s">
        <v>21</v>
      </c>
      <c r="R65" s="529" t="s">
        <v>21</v>
      </c>
      <c r="S65" s="529" t="s">
        <v>21</v>
      </c>
      <c r="T65" s="529" t="s">
        <v>21</v>
      </c>
      <c r="U65" s="529" t="s">
        <v>21</v>
      </c>
      <c r="V65" s="529" t="s">
        <v>21</v>
      </c>
      <c r="W65" s="529" t="s">
        <v>21</v>
      </c>
      <c r="X65" s="575">
        <f>0.25</f>
        <v>0.25</v>
      </c>
      <c r="Y65" s="576">
        <f>X65</f>
        <v>0.25</v>
      </c>
      <c r="Z65" s="576">
        <f>Y65</f>
        <v>0.25</v>
      </c>
      <c r="AA65" s="576">
        <f>Z65</f>
        <v>0.25</v>
      </c>
      <c r="AB65" s="575">
        <v>0.25</v>
      </c>
      <c r="AC65" s="576">
        <f>AB65</f>
        <v>0.25</v>
      </c>
      <c r="AD65" s="576">
        <f t="shared" ref="AD65:AE65" si="459">AC65</f>
        <v>0.25</v>
      </c>
      <c r="AE65" s="576">
        <f t="shared" si="459"/>
        <v>0.25</v>
      </c>
      <c r="AF65" s="576">
        <v>0.5</v>
      </c>
      <c r="AG65" s="576">
        <f t="shared" ref="AG65:AP65" si="460">AF65</f>
        <v>0.5</v>
      </c>
      <c r="AH65" s="576">
        <f t="shared" si="460"/>
        <v>0.5</v>
      </c>
      <c r="AI65" s="576">
        <f t="shared" si="460"/>
        <v>0.5</v>
      </c>
      <c r="AJ65" s="576">
        <f t="shared" si="460"/>
        <v>0.5</v>
      </c>
      <c r="AK65" s="576">
        <f t="shared" si="460"/>
        <v>0.5</v>
      </c>
      <c r="AL65" s="576">
        <v>0.65</v>
      </c>
      <c r="AM65" s="576">
        <f t="shared" si="460"/>
        <v>0.65</v>
      </c>
      <c r="AN65" s="576">
        <f t="shared" si="460"/>
        <v>0.65</v>
      </c>
      <c r="AO65" s="576">
        <f t="shared" si="460"/>
        <v>0.65</v>
      </c>
      <c r="AP65" s="576">
        <f t="shared" si="460"/>
        <v>0.65</v>
      </c>
      <c r="AQ65" s="576">
        <f t="shared" ref="AQ65" si="461">AP65</f>
        <v>0.65</v>
      </c>
      <c r="AR65" s="576">
        <f t="shared" ref="AR65" si="462">AQ65</f>
        <v>0.65</v>
      </c>
      <c r="AS65" s="576">
        <f t="shared" ref="AS65" si="463">AR65</f>
        <v>0.65</v>
      </c>
      <c r="AT65" s="576">
        <f t="shared" ref="AT65" si="464">AS65</f>
        <v>0.65</v>
      </c>
      <c r="AU65" s="576">
        <f t="shared" ref="AU65" si="465">AT65</f>
        <v>0.65</v>
      </c>
      <c r="AV65" s="576">
        <f t="shared" ref="AV65" si="466">AU65</f>
        <v>0.65</v>
      </c>
      <c r="AW65" s="576">
        <f t="shared" ref="AW65" si="467">AV65</f>
        <v>0.65</v>
      </c>
      <c r="AX65" s="576">
        <f t="shared" ref="AX65" si="468">AW65</f>
        <v>0.65</v>
      </c>
      <c r="AY65" s="576">
        <f t="shared" ref="AY65" si="469">AX65</f>
        <v>0.65</v>
      </c>
      <c r="AZ65" s="576">
        <f t="shared" ref="AZ65" si="470">AY65</f>
        <v>0.65</v>
      </c>
      <c r="BA65" s="576">
        <f t="shared" ref="BA65" si="471">AZ65</f>
        <v>0.65</v>
      </c>
      <c r="BB65" s="576">
        <f t="shared" ref="BB65" si="472">BA65</f>
        <v>0.65</v>
      </c>
      <c r="BC65" s="567"/>
      <c r="BD65" s="567"/>
      <c r="BE65" s="567"/>
      <c r="BF65" s="567"/>
      <c r="BG65" s="567"/>
      <c r="BH65" s="567"/>
      <c r="BI65" s="567"/>
      <c r="BJ65" s="567"/>
      <c r="BK65" s="567"/>
      <c r="BL65" s="567"/>
      <c r="BM65" s="567"/>
      <c r="BN65" s="567"/>
      <c r="BO65" s="567"/>
      <c r="BP65" s="567"/>
      <c r="BQ65" s="567"/>
      <c r="BR65" s="567"/>
      <c r="BS65" s="567"/>
      <c r="BT65" s="567"/>
    </row>
    <row r="66" spans="1:72" ht="14.5">
      <c r="A66" s="567"/>
      <c r="B66" s="106" t="s">
        <v>131</v>
      </c>
      <c r="C66" s="567"/>
      <c r="D66" s="567"/>
      <c r="E66" s="567"/>
      <c r="F66" s="567"/>
      <c r="G66" s="621" t="str">
        <f t="shared" ref="G66:AA66" si="473">IF(G65="NA","NA",(G65*G56)-G63)</f>
        <v>NA</v>
      </c>
      <c r="H66" s="621" t="str">
        <f t="shared" si="473"/>
        <v>NA</v>
      </c>
      <c r="I66" s="621" t="str">
        <f t="shared" si="473"/>
        <v>NA</v>
      </c>
      <c r="J66" s="621" t="str">
        <f t="shared" si="473"/>
        <v>NA</v>
      </c>
      <c r="K66" s="621" t="str">
        <f t="shared" si="473"/>
        <v>NA</v>
      </c>
      <c r="L66" s="621" t="str">
        <f t="shared" si="473"/>
        <v>NA</v>
      </c>
      <c r="M66" s="621" t="str">
        <f t="shared" si="473"/>
        <v>NA</v>
      </c>
      <c r="N66" s="621" t="str">
        <f t="shared" si="473"/>
        <v>NA</v>
      </c>
      <c r="O66" s="621" t="str">
        <f t="shared" si="473"/>
        <v>NA</v>
      </c>
      <c r="P66" s="621" t="str">
        <f t="shared" si="473"/>
        <v>NA</v>
      </c>
      <c r="Q66" s="621" t="str">
        <f t="shared" si="473"/>
        <v>NA</v>
      </c>
      <c r="R66" s="621" t="str">
        <f t="shared" si="473"/>
        <v>NA</v>
      </c>
      <c r="S66" s="621" t="str">
        <f t="shared" si="473"/>
        <v>NA</v>
      </c>
      <c r="T66" s="621" t="str">
        <f t="shared" si="473"/>
        <v>NA</v>
      </c>
      <c r="U66" s="621" t="str">
        <f t="shared" si="473"/>
        <v>NA</v>
      </c>
      <c r="V66" s="621" t="str">
        <f t="shared" si="473"/>
        <v>NA</v>
      </c>
      <c r="W66" s="621" t="str">
        <f t="shared" si="473"/>
        <v>NA</v>
      </c>
      <c r="X66" s="622">
        <f t="shared" si="473"/>
        <v>2233.25</v>
      </c>
      <c r="Y66" s="622">
        <f t="shared" si="473"/>
        <v>2031.25</v>
      </c>
      <c r="Z66" s="622">
        <f t="shared" si="473"/>
        <v>1700.25</v>
      </c>
      <c r="AA66" s="622">
        <f t="shared" si="473"/>
        <v>1095.5</v>
      </c>
      <c r="AB66" s="622">
        <f t="shared" ref="AB66:AH66" si="474">AB56*AB65-AB63</f>
        <v>925</v>
      </c>
      <c r="AC66" s="622">
        <f t="shared" si="474"/>
        <v>1001.75</v>
      </c>
      <c r="AD66" s="622">
        <f t="shared" si="474"/>
        <v>753.75</v>
      </c>
      <c r="AE66" s="622">
        <f t="shared" si="474"/>
        <v>422.25</v>
      </c>
      <c r="AF66" s="622">
        <f t="shared" si="474"/>
        <v>2070.9999999999995</v>
      </c>
      <c r="AG66" s="622">
        <f t="shared" si="474"/>
        <v>1991.5</v>
      </c>
      <c r="AH66" s="622">
        <f t="shared" si="474"/>
        <v>2840.5000000000005</v>
      </c>
      <c r="AI66" s="622">
        <f t="shared" ref="AI66:AK66" si="475">IF(AI65="NA","NA",AI64-AI60)</f>
        <v>1493.6999999999998</v>
      </c>
      <c r="AJ66" s="622">
        <f t="shared" si="475"/>
        <v>966.90000000000055</v>
      </c>
      <c r="AK66" s="622">
        <f t="shared" si="475"/>
        <v>1014.5500000000002</v>
      </c>
      <c r="AL66" s="622">
        <f>IF(AL65="NA","NA",AL64-AL60)</f>
        <v>1015.6000000000004</v>
      </c>
      <c r="AM66" s="622">
        <f t="shared" ref="AM66:AP66" si="476">IF(AM65="NA","NA",AM64-AM60)</f>
        <v>906.90000000000055</v>
      </c>
      <c r="AN66" s="622">
        <f t="shared" si="476"/>
        <v>678.59999999999991</v>
      </c>
      <c r="AO66" s="622">
        <f t="shared" si="476"/>
        <v>498.80000000000018</v>
      </c>
      <c r="AP66" s="622">
        <f t="shared" si="476"/>
        <v>877.30000000000018</v>
      </c>
      <c r="AQ66" s="622">
        <f t="shared" ref="AQ66:BB66" si="477">IF(AQ65="NA","NA",AQ64-AQ60)</f>
        <v>97.700000000000273</v>
      </c>
      <c r="AR66" s="622">
        <f t="shared" si="477"/>
        <v>1365</v>
      </c>
      <c r="AS66" s="622">
        <f t="shared" si="477"/>
        <v>0</v>
      </c>
      <c r="AT66" s="622">
        <f t="shared" si="477"/>
        <v>0</v>
      </c>
      <c r="AU66" s="622">
        <f t="shared" si="477"/>
        <v>0</v>
      </c>
      <c r="AV66" s="622">
        <f t="shared" si="477"/>
        <v>0</v>
      </c>
      <c r="AW66" s="622">
        <f t="shared" si="477"/>
        <v>0</v>
      </c>
      <c r="AX66" s="622">
        <f t="shared" si="477"/>
        <v>0</v>
      </c>
      <c r="AY66" s="622">
        <f t="shared" si="477"/>
        <v>0</v>
      </c>
      <c r="AZ66" s="622">
        <f t="shared" si="477"/>
        <v>0</v>
      </c>
      <c r="BA66" s="622">
        <f t="shared" si="477"/>
        <v>0</v>
      </c>
      <c r="BB66" s="622">
        <f t="shared" si="477"/>
        <v>0</v>
      </c>
      <c r="BC66" s="567"/>
      <c r="BD66" s="567"/>
      <c r="BE66" s="567"/>
      <c r="BF66" s="567"/>
      <c r="BG66" s="567"/>
      <c r="BH66" s="567"/>
      <c r="BI66" s="567"/>
      <c r="BJ66" s="567"/>
      <c r="BK66" s="567"/>
      <c r="BL66" s="567"/>
      <c r="BM66" s="567"/>
      <c r="BN66" s="567"/>
      <c r="BO66" s="567"/>
      <c r="BP66" s="567"/>
      <c r="BQ66" s="567"/>
      <c r="BR66" s="567"/>
      <c r="BS66" s="567"/>
      <c r="BT66" s="567"/>
    </row>
    <row r="67" spans="1:72" ht="14.5">
      <c r="A67" s="567"/>
      <c r="B67" s="619" t="s">
        <v>132</v>
      </c>
      <c r="C67" s="567"/>
      <c r="D67" s="567"/>
      <c r="E67" s="567"/>
      <c r="F67" s="567"/>
      <c r="G67" s="469" t="str">
        <f>IF(G65="NA","NA",G66/G63)</f>
        <v>NA</v>
      </c>
      <c r="H67" s="469" t="str">
        <f t="shared" ref="H67:K67" si="478">IF(H65="NA","NA",H66/H63)</f>
        <v>NA</v>
      </c>
      <c r="I67" s="469" t="str">
        <f t="shared" si="478"/>
        <v>NA</v>
      </c>
      <c r="J67" s="469" t="str">
        <f t="shared" si="478"/>
        <v>NA</v>
      </c>
      <c r="K67" s="469" t="str">
        <f t="shared" si="478"/>
        <v>NA</v>
      </c>
      <c r="L67" s="469" t="str">
        <f t="shared" ref="L67:M67" si="479">IF(L65="NA","NA",L66/L63)</f>
        <v>NA</v>
      </c>
      <c r="M67" s="469" t="str">
        <f t="shared" si="479"/>
        <v>NA</v>
      </c>
      <c r="N67" s="469" t="str">
        <f t="shared" ref="N67" si="480">IF(N65="NA","NA",N66/N63)</f>
        <v>NA</v>
      </c>
      <c r="O67" s="469" t="str">
        <f t="shared" ref="O67:P67" si="481">IF(O65="NA","NA",O66/O63)</f>
        <v>NA</v>
      </c>
      <c r="P67" s="469" t="str">
        <f t="shared" si="481"/>
        <v>NA</v>
      </c>
      <c r="Q67" s="469" t="str">
        <f t="shared" ref="Q67:R67" si="482">IF(Q65="NA","NA",Q66/Q63)</f>
        <v>NA</v>
      </c>
      <c r="R67" s="469" t="str">
        <f t="shared" si="482"/>
        <v>NA</v>
      </c>
      <c r="S67" s="469" t="str">
        <f t="shared" ref="S67:T67" si="483">IF(S65="NA","NA",S66/S63)</f>
        <v>NA</v>
      </c>
      <c r="T67" s="469" t="str">
        <f t="shared" si="483"/>
        <v>NA</v>
      </c>
      <c r="U67" s="469" t="str">
        <f t="shared" ref="U67" si="484">IF(U65="NA","NA",U66/U63)</f>
        <v>NA</v>
      </c>
      <c r="V67" s="469" t="str">
        <f t="shared" ref="V67:W67" si="485">IF(V65="NA","NA",V66/V63)</f>
        <v>NA</v>
      </c>
      <c r="W67" s="469" t="str">
        <f t="shared" si="485"/>
        <v>NA</v>
      </c>
      <c r="X67" s="469">
        <f t="shared" ref="X67:Y67" si="486">IF(X65="NA","NA",X66/X63)</f>
        <v>7.8913427561837457</v>
      </c>
      <c r="Y67" s="469">
        <f t="shared" si="486"/>
        <v>2.8488779803646564</v>
      </c>
      <c r="Z67" s="469">
        <f t="shared" ref="Z67:AA67" si="487">IF(Z65="NA","NA",Z66/Z63)</f>
        <v>1.4836387434554974</v>
      </c>
      <c r="AA67" s="469">
        <f t="shared" si="487"/>
        <v>0.72310231023102312</v>
      </c>
      <c r="AB67" s="469">
        <f t="shared" ref="AB67:AC67" si="488">IF(AB65="NA","NA",AB66/AB63)</f>
        <v>0.64013840830449831</v>
      </c>
      <c r="AC67" s="469">
        <f t="shared" si="488"/>
        <v>0.86283376399655465</v>
      </c>
      <c r="AD67" s="469">
        <f t="shared" ref="AD67:AE67" si="489">IF(AD65="NA","NA",AD66/AD63)</f>
        <v>0.64368061485909478</v>
      </c>
      <c r="AE67" s="469">
        <f t="shared" si="489"/>
        <v>0.34245742092457421</v>
      </c>
      <c r="AF67" s="469">
        <f t="shared" ref="AF67:AH67" si="490">IF(AF65="NA","NA",AF66/AF63)</f>
        <v>1.8441674087266247</v>
      </c>
      <c r="AG67" s="469">
        <f t="shared" si="490"/>
        <v>1.7844982078853047</v>
      </c>
      <c r="AH67" s="469">
        <f t="shared" si="490"/>
        <v>7.6978319783197842</v>
      </c>
      <c r="AI67" s="469">
        <f t="shared" ref="AI67:AK67" si="491">IF(AI65="NA","NA",AI66/AI64)</f>
        <v>0.32744371615844969</v>
      </c>
      <c r="AJ67" s="469">
        <f t="shared" si="491"/>
        <v>0.23076923076923087</v>
      </c>
      <c r="AK67" s="469">
        <f t="shared" si="491"/>
        <v>0.24985531516666465</v>
      </c>
      <c r="AL67" s="469">
        <f>IF(AL65="NA","NA",AL66/AL64)</f>
        <v>0.22896564162683747</v>
      </c>
      <c r="AM67" s="469">
        <f t="shared" ref="AM67:AP67" si="492">IF(AM65="NA","NA",AM66/AM64)</f>
        <v>0.20560429844249484</v>
      </c>
      <c r="AN67" s="469">
        <f t="shared" si="492"/>
        <v>0.17273328921244208</v>
      </c>
      <c r="AO67" s="469">
        <f t="shared" si="492"/>
        <v>0.13434604611075204</v>
      </c>
      <c r="AP67" s="469">
        <f t="shared" si="492"/>
        <v>0.26663222198583719</v>
      </c>
      <c r="AQ67" s="469">
        <f t="shared" ref="AQ67:BB67" si="493">IF(AQ65="NA","NA",AQ66/AQ64)</f>
        <v>3.0438981836308773E-2</v>
      </c>
      <c r="AR67" s="469">
        <f t="shared" si="493"/>
        <v>0.42857142857142855</v>
      </c>
      <c r="AS67" s="469" t="e">
        <f t="shared" si="493"/>
        <v>#DIV/0!</v>
      </c>
      <c r="AT67" s="469" t="e">
        <f t="shared" si="493"/>
        <v>#DIV/0!</v>
      </c>
      <c r="AU67" s="469" t="e">
        <f t="shared" si="493"/>
        <v>#DIV/0!</v>
      </c>
      <c r="AV67" s="469" t="e">
        <f t="shared" si="493"/>
        <v>#DIV/0!</v>
      </c>
      <c r="AW67" s="469" t="e">
        <f t="shared" si="493"/>
        <v>#DIV/0!</v>
      </c>
      <c r="AX67" s="469" t="e">
        <f t="shared" si="493"/>
        <v>#DIV/0!</v>
      </c>
      <c r="AY67" s="469" t="e">
        <f t="shared" si="493"/>
        <v>#DIV/0!</v>
      </c>
      <c r="AZ67" s="469" t="e">
        <f t="shared" si="493"/>
        <v>#DIV/0!</v>
      </c>
      <c r="BA67" s="469" t="e">
        <f t="shared" si="493"/>
        <v>#DIV/0!</v>
      </c>
      <c r="BB67" s="469" t="e">
        <f t="shared" si="493"/>
        <v>#DIV/0!</v>
      </c>
      <c r="BC67" s="567"/>
      <c r="BD67" s="567"/>
      <c r="BE67" s="567"/>
      <c r="BF67" s="567"/>
      <c r="BG67" s="567"/>
      <c r="BH67" s="567"/>
      <c r="BI67" s="567"/>
      <c r="BJ67" s="567"/>
      <c r="BK67" s="567"/>
      <c r="BL67" s="567"/>
      <c r="BM67" s="567"/>
      <c r="BN67" s="567"/>
      <c r="BO67" s="567"/>
      <c r="BP67" s="567"/>
      <c r="BQ67" s="567"/>
      <c r="BR67" s="567"/>
      <c r="BS67" s="567"/>
      <c r="BT67" s="567"/>
    </row>
    <row r="68" spans="1:72">
      <c r="A68" s="567"/>
      <c r="B68" s="528" t="s">
        <v>130</v>
      </c>
      <c r="C68" s="567"/>
      <c r="D68" s="567"/>
      <c r="E68" s="567"/>
      <c r="F68" s="567"/>
      <c r="G68" s="526" t="str">
        <f>IF(G65="NA","NA",IF(G64&lt;=G65,"Compliant","Violation"))</f>
        <v>NA</v>
      </c>
      <c r="H68" s="526" t="str">
        <f t="shared" ref="H68:K68" si="494">IF(H65="NA","NA",IF(H64&lt;=H65,"Compliant","Violation"))</f>
        <v>NA</v>
      </c>
      <c r="I68" s="526" t="str">
        <f t="shared" si="494"/>
        <v>NA</v>
      </c>
      <c r="J68" s="526" t="str">
        <f t="shared" si="494"/>
        <v>NA</v>
      </c>
      <c r="K68" s="526" t="str">
        <f t="shared" si="494"/>
        <v>NA</v>
      </c>
      <c r="L68" s="526" t="str">
        <f t="shared" ref="L68:M68" si="495">IF(L65="NA","NA",IF(L64&lt;=L65,"Compliant","Violation"))</f>
        <v>NA</v>
      </c>
      <c r="M68" s="526" t="str">
        <f t="shared" si="495"/>
        <v>NA</v>
      </c>
      <c r="N68" s="526" t="str">
        <f t="shared" ref="N68" si="496">IF(N65="NA","NA",IF(N64&lt;=N65,"Compliant","Violation"))</f>
        <v>NA</v>
      </c>
      <c r="O68" s="526" t="str">
        <f t="shared" ref="O68:P68" si="497">IF(O65="NA","NA",IF(O64&lt;=O65,"Compliant","Violation"))</f>
        <v>NA</v>
      </c>
      <c r="P68" s="526" t="str">
        <f t="shared" si="497"/>
        <v>NA</v>
      </c>
      <c r="Q68" s="526" t="str">
        <f t="shared" ref="Q68:R68" si="498">IF(Q65="NA","NA",IF(Q64&lt;=Q65,"Compliant","Violation"))</f>
        <v>NA</v>
      </c>
      <c r="R68" s="526" t="str">
        <f t="shared" si="498"/>
        <v>NA</v>
      </c>
      <c r="S68" s="526" t="str">
        <f t="shared" ref="S68:T68" si="499">IF(S65="NA","NA",IF(S64&lt;=S65,"Compliant","Violation"))</f>
        <v>NA</v>
      </c>
      <c r="T68" s="526" t="str">
        <f t="shared" si="499"/>
        <v>NA</v>
      </c>
      <c r="U68" s="526" t="str">
        <f t="shared" ref="U68" si="500">IF(U65="NA","NA",IF(U64&lt;=U65,"Compliant","Violation"))</f>
        <v>NA</v>
      </c>
      <c r="V68" s="526" t="str">
        <f t="shared" ref="V68:W68" si="501">IF(V65="NA","NA",IF(V64&lt;=V65,"Compliant","Violation"))</f>
        <v>NA</v>
      </c>
      <c r="W68" s="526" t="str">
        <f t="shared" si="501"/>
        <v>NA</v>
      </c>
      <c r="X68" s="526" t="str">
        <f t="shared" ref="X68:Y68" si="502">IF(X65="NA","NA",IF(X64&lt;=X65,"Compliant","Violation"))</f>
        <v>Compliant</v>
      </c>
      <c r="Y68" s="526" t="str">
        <f t="shared" si="502"/>
        <v>Compliant</v>
      </c>
      <c r="Z68" s="526" t="str">
        <f t="shared" ref="Z68:AA68" si="503">IF(Z65="NA","NA",IF(Z64&lt;=Z65,"Compliant","Violation"))</f>
        <v>Compliant</v>
      </c>
      <c r="AA68" s="526" t="str">
        <f t="shared" si="503"/>
        <v>Compliant</v>
      </c>
      <c r="AB68" s="526" t="str">
        <f t="shared" ref="AB68:AC68" si="504">IF(AB65="NA","NA",IF(AB64&lt;=AB65,"Compliant","Violation"))</f>
        <v>Compliant</v>
      </c>
      <c r="AC68" s="526" t="str">
        <f t="shared" si="504"/>
        <v>Compliant</v>
      </c>
      <c r="AD68" s="526" t="str">
        <f t="shared" ref="AD68:AE68" si="505">IF(AD65="NA","NA",IF(AD64&lt;=AD65,"Compliant","Violation"))</f>
        <v>Compliant</v>
      </c>
      <c r="AE68" s="526" t="str">
        <f t="shared" si="505"/>
        <v>Compliant</v>
      </c>
      <c r="AF68" s="526" t="str">
        <f t="shared" ref="AF68:AH68" si="506">IF(AF65="NA","NA",IF(AF64&lt;=AF65,"Compliant","Violation"))</f>
        <v>Compliant</v>
      </c>
      <c r="AG68" s="526" t="str">
        <f t="shared" si="506"/>
        <v>Compliant</v>
      </c>
      <c r="AH68" s="526" t="str">
        <f t="shared" si="506"/>
        <v>Compliant</v>
      </c>
      <c r="AI68" s="526" t="str">
        <f t="shared" ref="AI68:AK68" si="507">IF(AI65="NA","NA",(IF(AI60&lt;=AI64,"Compliant","Violation")))</f>
        <v>Compliant</v>
      </c>
      <c r="AJ68" s="526" t="str">
        <f t="shared" si="507"/>
        <v>Compliant</v>
      </c>
      <c r="AK68" s="526" t="str">
        <f t="shared" si="507"/>
        <v>Compliant</v>
      </c>
      <c r="AL68" s="526" t="str">
        <f>IF(AL65="NA","NA",(IF(AL60&lt;=AL64,"Compliant","Violation")))</f>
        <v>Compliant</v>
      </c>
      <c r="AM68" s="526" t="str">
        <f t="shared" ref="AM68:AO68" si="508">IF(AM65="NA","NA",(IF(AM60&lt;=AM64,"Compliant","Violation")))</f>
        <v>Compliant</v>
      </c>
      <c r="AN68" s="526" t="str">
        <f t="shared" si="508"/>
        <v>Compliant</v>
      </c>
      <c r="AO68" s="526" t="str">
        <f t="shared" si="508"/>
        <v>Compliant</v>
      </c>
      <c r="AP68" s="526" t="str">
        <f>IF(AP65="NA","NA",(IF(AP60&lt;=AP64,"Compliant","Violation")))</f>
        <v>Compliant</v>
      </c>
      <c r="AQ68" s="526" t="str">
        <f t="shared" ref="AQ68:BB68" si="509">IF(AQ65="NA","NA",(IF(AQ60&lt;=AQ64,"Compliant","Violation")))</f>
        <v>Compliant</v>
      </c>
      <c r="AR68" s="526" t="str">
        <f t="shared" si="509"/>
        <v>Compliant</v>
      </c>
      <c r="AS68" s="526" t="str">
        <f t="shared" si="509"/>
        <v>Compliant</v>
      </c>
      <c r="AT68" s="526" t="str">
        <f t="shared" si="509"/>
        <v>Compliant</v>
      </c>
      <c r="AU68" s="526" t="str">
        <f t="shared" si="509"/>
        <v>Compliant</v>
      </c>
      <c r="AV68" s="526" t="str">
        <f t="shared" si="509"/>
        <v>Compliant</v>
      </c>
      <c r="AW68" s="526" t="str">
        <f t="shared" si="509"/>
        <v>Compliant</v>
      </c>
      <c r="AX68" s="526" t="str">
        <f t="shared" si="509"/>
        <v>Compliant</v>
      </c>
      <c r="AY68" s="526" t="str">
        <f t="shared" si="509"/>
        <v>Compliant</v>
      </c>
      <c r="AZ68" s="526" t="str">
        <f t="shared" si="509"/>
        <v>Compliant</v>
      </c>
      <c r="BA68" s="526" t="str">
        <f t="shared" si="509"/>
        <v>Compliant</v>
      </c>
      <c r="BB68" s="526" t="str">
        <f t="shared" si="509"/>
        <v>Compliant</v>
      </c>
      <c r="BC68" s="567"/>
      <c r="BD68" s="567"/>
      <c r="BE68" s="567"/>
      <c r="BF68" s="567"/>
      <c r="BG68" s="567"/>
      <c r="BH68" s="567"/>
      <c r="BI68" s="567"/>
      <c r="BJ68" s="567"/>
      <c r="BK68" s="567"/>
      <c r="BL68" s="567"/>
      <c r="BM68" s="567"/>
      <c r="BN68" s="567"/>
      <c r="BO68" s="567"/>
      <c r="BP68" s="567"/>
      <c r="BQ68" s="567"/>
      <c r="BR68" s="567"/>
      <c r="BS68" s="567"/>
      <c r="BT68" s="567"/>
    </row>
    <row r="69" spans="1:72">
      <c r="A69" s="567"/>
      <c r="B69" s="567"/>
      <c r="C69" s="567"/>
      <c r="D69" s="567"/>
      <c r="E69" s="567"/>
      <c r="F69" s="567"/>
      <c r="G69" s="567"/>
      <c r="H69" s="567"/>
      <c r="I69" s="567"/>
      <c r="J69" s="567"/>
      <c r="K69" s="567"/>
      <c r="L69" s="567"/>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567"/>
      <c r="AL69" s="567"/>
      <c r="AM69" s="567"/>
      <c r="AN69" s="567"/>
      <c r="AO69" s="567"/>
      <c r="AP69" s="567"/>
      <c r="AQ69" s="567"/>
      <c r="AR69" s="567"/>
      <c r="AS69" s="567"/>
      <c r="AT69" s="567"/>
      <c r="AU69" s="567"/>
      <c r="AV69" s="567"/>
      <c r="AW69" s="567"/>
      <c r="AX69" s="567"/>
      <c r="AY69" s="567"/>
      <c r="AZ69" s="567"/>
      <c r="BA69" s="567"/>
      <c r="BB69" s="567"/>
      <c r="BC69" s="567"/>
      <c r="BD69" s="567"/>
      <c r="BE69" s="567"/>
      <c r="BF69" s="567"/>
      <c r="BG69" s="567"/>
      <c r="BH69" s="567"/>
      <c r="BI69" s="567"/>
      <c r="BJ69" s="567"/>
      <c r="BK69" s="567"/>
      <c r="BL69" s="567"/>
      <c r="BM69" s="567"/>
      <c r="BN69" s="567"/>
      <c r="BO69" s="567"/>
      <c r="BP69" s="567"/>
      <c r="BQ69" s="567"/>
      <c r="BR69" s="567"/>
      <c r="BS69" s="567"/>
      <c r="BT69" s="567"/>
    </row>
    <row r="70" spans="1:72">
      <c r="A70" s="567"/>
      <c r="B70" s="164" t="s">
        <v>281</v>
      </c>
      <c r="C70" s="165">
        <f>C55</f>
        <v>42369</v>
      </c>
      <c r="D70" s="165">
        <f>EOMONTH(C70,3)</f>
        <v>42460</v>
      </c>
      <c r="E70" s="165">
        <f t="shared" ref="E70" si="510">EOMONTH(D70,3)</f>
        <v>42551</v>
      </c>
      <c r="F70" s="165">
        <f t="shared" ref="F70" si="511">EOMONTH(E70,3)</f>
        <v>42643</v>
      </c>
      <c r="G70" s="165">
        <f t="shared" ref="G70" si="512">EOMONTH(F70,3)</f>
        <v>42735</v>
      </c>
      <c r="H70" s="165">
        <f t="shared" ref="H70" si="513">EOMONTH(G70,3)</f>
        <v>42825</v>
      </c>
      <c r="I70" s="165">
        <f t="shared" ref="I70" si="514">EOMONTH(H70,3)</f>
        <v>42916</v>
      </c>
      <c r="J70" s="165">
        <f t="shared" ref="J70" si="515">EOMONTH(I70,3)</f>
        <v>43008</v>
      </c>
      <c r="K70" s="165">
        <f t="shared" ref="K70" si="516">EOMONTH(J70,3)</f>
        <v>43100</v>
      </c>
      <c r="L70" s="165">
        <f t="shared" ref="L70" si="517">EOMONTH(K70,3)</f>
        <v>43190</v>
      </c>
      <c r="M70" s="165">
        <f t="shared" ref="M70" si="518">EOMONTH(L70,3)</f>
        <v>43281</v>
      </c>
      <c r="N70" s="165">
        <f t="shared" ref="N70" si="519">EOMONTH(M70,3)</f>
        <v>43373</v>
      </c>
      <c r="O70" s="165">
        <f t="shared" ref="O70" si="520">EOMONTH(N70,3)</f>
        <v>43465</v>
      </c>
      <c r="P70" s="165">
        <f t="shared" ref="P70" si="521">EOMONTH(O70,3)</f>
        <v>43555</v>
      </c>
      <c r="Q70" s="165">
        <f t="shared" ref="Q70" si="522">EOMONTH(P70,3)</f>
        <v>43646</v>
      </c>
      <c r="R70" s="165">
        <f t="shared" ref="R70" si="523">EOMONTH(Q70,3)</f>
        <v>43738</v>
      </c>
      <c r="S70" s="165">
        <f t="shared" ref="S70" si="524">EOMONTH(R70,3)</f>
        <v>43830</v>
      </c>
      <c r="T70" s="165">
        <f t="shared" ref="T70" si="525">EOMONTH(S70,3)</f>
        <v>43921</v>
      </c>
      <c r="U70" s="165">
        <f t="shared" ref="U70" si="526">EOMONTH(T70,3)</f>
        <v>44012</v>
      </c>
      <c r="V70" s="165">
        <f t="shared" ref="V70" si="527">EOMONTH(U70,3)</f>
        <v>44104</v>
      </c>
      <c r="W70" s="165">
        <f t="shared" ref="W70" si="528">EOMONTH(V70,3)</f>
        <v>44196</v>
      </c>
      <c r="X70" s="165">
        <f t="shared" ref="X70" si="529">EOMONTH(W70,3)</f>
        <v>44286</v>
      </c>
      <c r="Y70" s="165">
        <f t="shared" ref="Y70" si="530">EOMONTH(X70,3)</f>
        <v>44377</v>
      </c>
      <c r="Z70" s="165">
        <f t="shared" ref="Z70" si="531">EOMONTH(Y70,3)</f>
        <v>44469</v>
      </c>
      <c r="AA70" s="165">
        <f t="shared" ref="AA70" si="532">EOMONTH(Z70,3)</f>
        <v>44561</v>
      </c>
      <c r="AB70" s="165">
        <f t="shared" ref="AB70" si="533">EOMONTH(AA70,3)</f>
        <v>44651</v>
      </c>
      <c r="AC70" s="165">
        <f t="shared" ref="AC70" si="534">EOMONTH(AB70,3)</f>
        <v>44742</v>
      </c>
      <c r="AD70" s="165">
        <f t="shared" ref="AD70" si="535">EOMONTH(AC70,3)</f>
        <v>44834</v>
      </c>
      <c r="AE70" s="165">
        <f t="shared" ref="AE70" si="536">EOMONTH(AD70,3)</f>
        <v>44926</v>
      </c>
      <c r="AF70" s="165">
        <f t="shared" ref="AF70" si="537">EOMONTH(AE70,3)</f>
        <v>45016</v>
      </c>
      <c r="AG70" s="165">
        <f t="shared" ref="AG70" si="538">EOMONTH(AF70,3)</f>
        <v>45107</v>
      </c>
      <c r="AH70" s="165">
        <f t="shared" ref="AH70" si="539">EOMONTH(AG70,3)</f>
        <v>45199</v>
      </c>
      <c r="AI70" s="165">
        <f t="shared" ref="AI70" si="540">EOMONTH(AH70,3)</f>
        <v>45291</v>
      </c>
      <c r="AJ70" s="165">
        <f t="shared" ref="AJ70" si="541">EOMONTH(AI70,3)</f>
        <v>45382</v>
      </c>
      <c r="AK70" s="165">
        <f t="shared" ref="AK70" si="542">EOMONTH(AJ70,3)</f>
        <v>45473</v>
      </c>
      <c r="AL70" s="165">
        <f t="shared" ref="AL70" si="543">EOMONTH(AK70,3)</f>
        <v>45565</v>
      </c>
      <c r="AM70" s="165">
        <f t="shared" ref="AM70" si="544">EOMONTH(AL70,3)</f>
        <v>45657</v>
      </c>
      <c r="AN70" s="165">
        <f t="shared" ref="AN70" si="545">EOMONTH(AM70,3)</f>
        <v>45747</v>
      </c>
      <c r="AO70" s="165">
        <f t="shared" ref="AO70" si="546">EOMONTH(AN70,3)</f>
        <v>45838</v>
      </c>
      <c r="AP70" s="165">
        <f t="shared" ref="AP70" si="547">EOMONTH(AO70,3)</f>
        <v>45930</v>
      </c>
      <c r="AQ70" s="165">
        <f t="shared" ref="AQ70" si="548">EOMONTH(AP70,3)</f>
        <v>46022</v>
      </c>
      <c r="AR70" s="165">
        <f t="shared" ref="AR70" si="549">EOMONTH(AQ70,3)</f>
        <v>46112</v>
      </c>
      <c r="AS70" s="165">
        <f t="shared" ref="AS70" si="550">EOMONTH(AR70,3)</f>
        <v>46203</v>
      </c>
      <c r="AT70" s="165">
        <f t="shared" ref="AT70" si="551">EOMONTH(AS70,3)</f>
        <v>46295</v>
      </c>
      <c r="AU70" s="165">
        <f t="shared" ref="AU70" si="552">EOMONTH(AT70,3)</f>
        <v>46387</v>
      </c>
      <c r="AV70" s="165">
        <f t="shared" ref="AV70" si="553">EOMONTH(AU70,3)</f>
        <v>46477</v>
      </c>
      <c r="AW70" s="165">
        <f t="shared" ref="AW70" si="554">EOMONTH(AV70,3)</f>
        <v>46568</v>
      </c>
      <c r="AX70" s="165">
        <f t="shared" ref="AX70" si="555">EOMONTH(AW70,3)</f>
        <v>46660</v>
      </c>
      <c r="AY70" s="165">
        <f t="shared" ref="AY70" si="556">EOMONTH(AX70,3)</f>
        <v>46752</v>
      </c>
      <c r="AZ70" s="165">
        <f t="shared" ref="AZ70" si="557">EOMONTH(AY70,3)</f>
        <v>46843</v>
      </c>
      <c r="BA70" s="165">
        <f t="shared" ref="BA70" si="558">EOMONTH(AZ70,3)</f>
        <v>46934</v>
      </c>
      <c r="BB70" s="165">
        <f t="shared" ref="BB70" si="559">EOMONTH(BA70,3)</f>
        <v>47026</v>
      </c>
      <c r="BC70" s="567"/>
      <c r="BD70" s="567"/>
      <c r="BE70" s="567"/>
      <c r="BF70" s="567"/>
      <c r="BG70" s="567"/>
      <c r="BH70" s="567"/>
      <c r="BI70" s="567"/>
      <c r="BJ70" s="567"/>
      <c r="BK70" s="567"/>
      <c r="BL70" s="567"/>
      <c r="BM70" s="567"/>
      <c r="BN70" s="567"/>
      <c r="BO70" s="567"/>
      <c r="BP70" s="567"/>
      <c r="BQ70" s="567"/>
      <c r="BR70" s="567"/>
      <c r="BS70" s="567"/>
      <c r="BT70" s="567"/>
    </row>
    <row r="71" spans="1:72">
      <c r="A71" s="567"/>
      <c r="B71" s="519" t="s">
        <v>282</v>
      </c>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569"/>
      <c r="AB71" s="569"/>
      <c r="AC71" s="569"/>
      <c r="AD71" s="569"/>
      <c r="AE71" s="569"/>
      <c r="AF71" s="519">
        <v>1123</v>
      </c>
      <c r="AG71" s="519">
        <v>1116</v>
      </c>
      <c r="AH71" s="519">
        <v>812</v>
      </c>
      <c r="AI71" s="519">
        <v>679</v>
      </c>
      <c r="AJ71" s="519">
        <v>678</v>
      </c>
      <c r="AK71" s="519">
        <v>656</v>
      </c>
      <c r="AL71" s="519">
        <v>677</v>
      </c>
      <c r="AM71" s="519">
        <v>655</v>
      </c>
      <c r="AN71" s="169">
        <v>732</v>
      </c>
      <c r="AO71" s="169">
        <v>749</v>
      </c>
      <c r="AP71" s="169"/>
      <c r="AQ71" s="169"/>
      <c r="AR71" s="169"/>
      <c r="AS71" s="169"/>
      <c r="AT71" s="169"/>
      <c r="AU71" s="169"/>
      <c r="AV71" s="169"/>
      <c r="AW71" s="169"/>
      <c r="AX71" s="169"/>
      <c r="AY71" s="169"/>
      <c r="AZ71" s="169"/>
      <c r="BA71" s="169"/>
      <c r="BB71" s="169"/>
      <c r="BC71" s="567"/>
      <c r="BD71" s="567"/>
      <c r="BE71" s="567"/>
      <c r="BF71" s="567"/>
      <c r="BG71" s="567"/>
      <c r="BH71" s="567"/>
      <c r="BI71" s="567"/>
      <c r="BJ71" s="567"/>
      <c r="BK71" s="567"/>
      <c r="BL71" s="567"/>
      <c r="BM71" s="567"/>
      <c r="BN71" s="567"/>
      <c r="BO71" s="567"/>
      <c r="BP71" s="567"/>
      <c r="BQ71" s="567"/>
      <c r="BR71" s="567"/>
      <c r="BS71" s="567"/>
      <c r="BT71" s="567"/>
    </row>
    <row r="72" spans="1:72">
      <c r="A72" s="567"/>
      <c r="B72" s="519" t="s">
        <v>283</v>
      </c>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569"/>
      <c r="AB72" s="569"/>
      <c r="AC72" s="569"/>
      <c r="AD72" s="569"/>
      <c r="AE72" s="569"/>
      <c r="AF72" s="519">
        <v>6388</v>
      </c>
      <c r="AG72" s="519">
        <v>6215</v>
      </c>
      <c r="AH72" s="519">
        <v>6419</v>
      </c>
      <c r="AI72" s="519">
        <v>6729</v>
      </c>
      <c r="AJ72" s="519">
        <v>6446</v>
      </c>
      <c r="AK72" s="519">
        <v>6247</v>
      </c>
      <c r="AL72" s="519">
        <v>6253</v>
      </c>
      <c r="AM72" s="519">
        <v>6131</v>
      </c>
      <c r="AN72" s="169">
        <v>6044</v>
      </c>
      <c r="AO72" s="169">
        <v>5712</v>
      </c>
      <c r="AP72" s="169"/>
      <c r="AQ72" s="169"/>
      <c r="AR72" s="169"/>
      <c r="AS72" s="169"/>
      <c r="AT72" s="169"/>
      <c r="AU72" s="169"/>
      <c r="AV72" s="169"/>
      <c r="AW72" s="169"/>
      <c r="AX72" s="169"/>
      <c r="AY72" s="169"/>
      <c r="AZ72" s="169"/>
      <c r="BA72" s="169"/>
      <c r="BB72" s="169"/>
      <c r="BC72" s="567"/>
      <c r="BD72" s="567"/>
      <c r="BE72" s="567"/>
      <c r="BF72" s="567"/>
      <c r="BG72" s="567"/>
      <c r="BH72" s="567"/>
      <c r="BI72" s="567"/>
      <c r="BJ72" s="567"/>
      <c r="BK72" s="567"/>
      <c r="BL72" s="567"/>
      <c r="BM72" s="567"/>
      <c r="BN72" s="567"/>
      <c r="BO72" s="567"/>
      <c r="BP72" s="567"/>
      <c r="BQ72" s="567"/>
      <c r="BR72" s="567"/>
      <c r="BS72" s="567"/>
      <c r="BT72" s="567"/>
    </row>
    <row r="73" spans="1:72">
      <c r="A73" s="567"/>
      <c r="B73" s="401" t="s">
        <v>284</v>
      </c>
      <c r="C73" s="546"/>
      <c r="D73" s="546"/>
      <c r="E73" s="546"/>
      <c r="F73" s="546"/>
      <c r="G73" s="546"/>
      <c r="H73" s="546"/>
      <c r="I73" s="546"/>
      <c r="J73" s="546"/>
      <c r="K73" s="546"/>
      <c r="L73" s="546"/>
      <c r="M73" s="546"/>
      <c r="N73" s="546"/>
      <c r="O73" s="546"/>
      <c r="P73" s="546"/>
      <c r="Q73" s="546"/>
      <c r="R73" s="546"/>
      <c r="S73" s="546"/>
      <c r="T73" s="546"/>
      <c r="U73" s="546"/>
      <c r="V73" s="546"/>
      <c r="W73" s="546"/>
      <c r="X73" s="546"/>
      <c r="Y73" s="546"/>
      <c r="Z73" s="546"/>
      <c r="AA73" s="546"/>
      <c r="AB73" s="546"/>
      <c r="AC73" s="546"/>
      <c r="AD73" s="546"/>
      <c r="AE73" s="546"/>
      <c r="AF73" s="539">
        <f>AF71/AF72</f>
        <v>0.17579837194740139</v>
      </c>
      <c r="AG73" s="539">
        <f t="shared" ref="AG73:AN73" si="560">AG71/AG72</f>
        <v>0.17956556717618666</v>
      </c>
      <c r="AH73" s="539">
        <f t="shared" si="560"/>
        <v>0.12649945474372956</v>
      </c>
      <c r="AI73" s="539">
        <f t="shared" si="560"/>
        <v>0.10090652400059444</v>
      </c>
      <c r="AJ73" s="539">
        <f t="shared" si="560"/>
        <v>0.10518150791188334</v>
      </c>
      <c r="AK73" s="539">
        <f t="shared" si="560"/>
        <v>0.10501040499439732</v>
      </c>
      <c r="AL73" s="539">
        <f t="shared" si="560"/>
        <v>0.10826803134495443</v>
      </c>
      <c r="AM73" s="539">
        <f t="shared" si="560"/>
        <v>0.10683412167672485</v>
      </c>
      <c r="AN73" s="539">
        <f t="shared" si="560"/>
        <v>0.12111184645929848</v>
      </c>
      <c r="AO73" s="539">
        <f t="shared" ref="AO73:BB73" si="561">AO71/AO72</f>
        <v>0.13112745098039216</v>
      </c>
      <c r="AP73" s="539" t="e">
        <f t="shared" si="561"/>
        <v>#DIV/0!</v>
      </c>
      <c r="AQ73" s="539" t="e">
        <f t="shared" si="561"/>
        <v>#DIV/0!</v>
      </c>
      <c r="AR73" s="539" t="e">
        <f t="shared" si="561"/>
        <v>#DIV/0!</v>
      </c>
      <c r="AS73" s="539" t="e">
        <f t="shared" si="561"/>
        <v>#DIV/0!</v>
      </c>
      <c r="AT73" s="539" t="e">
        <f t="shared" si="561"/>
        <v>#DIV/0!</v>
      </c>
      <c r="AU73" s="539" t="e">
        <f t="shared" si="561"/>
        <v>#DIV/0!</v>
      </c>
      <c r="AV73" s="539" t="e">
        <f t="shared" si="561"/>
        <v>#DIV/0!</v>
      </c>
      <c r="AW73" s="539" t="e">
        <f t="shared" si="561"/>
        <v>#DIV/0!</v>
      </c>
      <c r="AX73" s="539" t="e">
        <f t="shared" si="561"/>
        <v>#DIV/0!</v>
      </c>
      <c r="AY73" s="539" t="e">
        <f t="shared" si="561"/>
        <v>#DIV/0!</v>
      </c>
      <c r="AZ73" s="539" t="e">
        <f t="shared" si="561"/>
        <v>#DIV/0!</v>
      </c>
      <c r="BA73" s="539" t="e">
        <f t="shared" si="561"/>
        <v>#DIV/0!</v>
      </c>
      <c r="BB73" s="539" t="e">
        <f t="shared" si="561"/>
        <v>#DIV/0!</v>
      </c>
      <c r="BC73" s="567"/>
      <c r="BD73" s="567"/>
      <c r="BE73" s="567"/>
      <c r="BF73" s="567"/>
      <c r="BG73" s="567"/>
      <c r="BH73" s="567"/>
      <c r="BI73" s="567"/>
      <c r="BJ73" s="567"/>
      <c r="BK73" s="567"/>
      <c r="BL73" s="567"/>
      <c r="BM73" s="567"/>
      <c r="BN73" s="567"/>
      <c r="BO73" s="567"/>
      <c r="BP73" s="567"/>
      <c r="BQ73" s="567"/>
      <c r="BR73" s="567"/>
      <c r="BS73" s="567"/>
      <c r="BT73" s="567"/>
    </row>
    <row r="74" spans="1:72">
      <c r="A74" s="567"/>
      <c r="B74" s="105" t="s">
        <v>129</v>
      </c>
      <c r="C74" s="547"/>
      <c r="D74" s="547"/>
      <c r="E74" s="547"/>
      <c r="F74" s="547"/>
      <c r="G74" s="547"/>
      <c r="H74" s="547"/>
      <c r="I74" s="547"/>
      <c r="J74" s="547"/>
      <c r="K74" s="547"/>
      <c r="L74" s="547"/>
      <c r="M74" s="547"/>
      <c r="N74" s="547"/>
      <c r="O74" s="547"/>
      <c r="P74" s="547"/>
      <c r="Q74" s="547"/>
      <c r="R74" s="547"/>
      <c r="S74" s="547"/>
      <c r="T74" s="547"/>
      <c r="U74" s="547"/>
      <c r="V74" s="547"/>
      <c r="W74" s="547"/>
      <c r="X74" s="547"/>
      <c r="Y74" s="547"/>
      <c r="Z74" s="547"/>
      <c r="AA74" s="547"/>
      <c r="AB74" s="547"/>
      <c r="AC74" s="547"/>
      <c r="AD74" s="547"/>
      <c r="AE74" s="547"/>
      <c r="AF74" s="653">
        <v>0.25</v>
      </c>
      <c r="AG74" s="653">
        <f>AF74</f>
        <v>0.25</v>
      </c>
      <c r="AH74" s="653">
        <f t="shared" ref="AH74:AO74" si="562">AG74</f>
        <v>0.25</v>
      </c>
      <c r="AI74" s="653">
        <f t="shared" si="562"/>
        <v>0.25</v>
      </c>
      <c r="AJ74" s="653">
        <f t="shared" si="562"/>
        <v>0.25</v>
      </c>
      <c r="AK74" s="653">
        <f t="shared" si="562"/>
        <v>0.25</v>
      </c>
      <c r="AL74" s="653">
        <f t="shared" si="562"/>
        <v>0.25</v>
      </c>
      <c r="AM74" s="653">
        <f t="shared" si="562"/>
        <v>0.25</v>
      </c>
      <c r="AN74" s="653">
        <f t="shared" si="562"/>
        <v>0.25</v>
      </c>
      <c r="AO74" s="653">
        <f t="shared" si="562"/>
        <v>0.25</v>
      </c>
      <c r="AP74" s="171" t="s">
        <v>21</v>
      </c>
      <c r="AQ74" s="171" t="str">
        <f>AP74</f>
        <v>NA</v>
      </c>
      <c r="AR74" s="171" t="str">
        <f t="shared" ref="AR74:BB74" si="563">AQ74</f>
        <v>NA</v>
      </c>
      <c r="AS74" s="171" t="str">
        <f t="shared" si="563"/>
        <v>NA</v>
      </c>
      <c r="AT74" s="171" t="str">
        <f t="shared" si="563"/>
        <v>NA</v>
      </c>
      <c r="AU74" s="171" t="str">
        <f t="shared" si="563"/>
        <v>NA</v>
      </c>
      <c r="AV74" s="171" t="str">
        <f t="shared" si="563"/>
        <v>NA</v>
      </c>
      <c r="AW74" s="171" t="str">
        <f t="shared" si="563"/>
        <v>NA</v>
      </c>
      <c r="AX74" s="171" t="str">
        <f t="shared" si="563"/>
        <v>NA</v>
      </c>
      <c r="AY74" s="171" t="str">
        <f t="shared" si="563"/>
        <v>NA</v>
      </c>
      <c r="AZ74" s="171" t="str">
        <f t="shared" si="563"/>
        <v>NA</v>
      </c>
      <c r="BA74" s="171" t="str">
        <f t="shared" si="563"/>
        <v>NA</v>
      </c>
      <c r="BB74" s="171" t="str">
        <f t="shared" si="563"/>
        <v>NA</v>
      </c>
      <c r="BC74" s="567"/>
      <c r="BD74" s="567"/>
      <c r="BE74" s="567"/>
      <c r="BF74" s="567"/>
      <c r="BG74" s="567"/>
      <c r="BH74" s="567"/>
      <c r="BI74" s="567"/>
      <c r="BJ74" s="567"/>
      <c r="BK74" s="567"/>
      <c r="BL74" s="567"/>
      <c r="BM74" s="567"/>
      <c r="BN74" s="567"/>
      <c r="BO74" s="567"/>
      <c r="BP74" s="567"/>
      <c r="BQ74" s="567"/>
      <c r="BR74" s="567"/>
      <c r="BS74" s="567"/>
      <c r="BT74" s="567"/>
    </row>
    <row r="75" spans="1:72" ht="14.5">
      <c r="A75" s="567"/>
      <c r="B75" s="106" t="s">
        <v>131</v>
      </c>
      <c r="C75" s="569"/>
      <c r="D75" s="569"/>
      <c r="E75" s="569"/>
      <c r="F75" s="569"/>
      <c r="G75" s="569"/>
      <c r="H75" s="569"/>
      <c r="I75" s="569"/>
      <c r="J75" s="569"/>
      <c r="K75" s="569"/>
      <c r="L75" s="569"/>
      <c r="M75" s="569"/>
      <c r="N75" s="569"/>
      <c r="O75" s="569"/>
      <c r="P75" s="569"/>
      <c r="Q75" s="569"/>
      <c r="R75" s="569"/>
      <c r="S75" s="569"/>
      <c r="T75" s="569"/>
      <c r="U75" s="569"/>
      <c r="V75" s="569"/>
      <c r="W75" s="569"/>
      <c r="X75" s="569"/>
      <c r="Y75" s="569"/>
      <c r="Z75" s="569"/>
      <c r="AA75" s="569"/>
      <c r="AB75" s="569"/>
      <c r="AC75" s="569"/>
      <c r="AD75" s="569"/>
      <c r="AE75" s="569"/>
      <c r="AF75" s="661">
        <f>IF(AF74="NA","NA",AF74-AF73)</f>
        <v>7.4201628052598612E-2</v>
      </c>
      <c r="AG75" s="661">
        <f t="shared" ref="AG75:AP75" si="564">IF(AG74="NA","NA",AG74-AG73)</f>
        <v>7.0434432823813342E-2</v>
      </c>
      <c r="AH75" s="661">
        <f t="shared" si="564"/>
        <v>0.12350054525627044</v>
      </c>
      <c r="AI75" s="661">
        <f t="shared" si="564"/>
        <v>0.14909347599940556</v>
      </c>
      <c r="AJ75" s="661">
        <f t="shared" si="564"/>
        <v>0.14481849208811665</v>
      </c>
      <c r="AK75" s="661">
        <f t="shared" si="564"/>
        <v>0.14498959500560268</v>
      </c>
      <c r="AL75" s="661">
        <f t="shared" si="564"/>
        <v>0.14173196865504556</v>
      </c>
      <c r="AM75" s="661">
        <f t="shared" si="564"/>
        <v>0.14316587832327515</v>
      </c>
      <c r="AN75" s="661">
        <f t="shared" si="564"/>
        <v>0.12888815354070152</v>
      </c>
      <c r="AO75" s="661">
        <f t="shared" si="564"/>
        <v>0.11887254901960784</v>
      </c>
      <c r="AP75" s="661" t="str">
        <f t="shared" si="564"/>
        <v>NA</v>
      </c>
      <c r="AQ75" s="661" t="str">
        <f t="shared" ref="AQ75:BB75" si="565">IF(AQ74="NA","NA",AQ74-AQ73)</f>
        <v>NA</v>
      </c>
      <c r="AR75" s="661" t="str">
        <f t="shared" si="565"/>
        <v>NA</v>
      </c>
      <c r="AS75" s="661" t="str">
        <f t="shared" si="565"/>
        <v>NA</v>
      </c>
      <c r="AT75" s="661" t="str">
        <f t="shared" si="565"/>
        <v>NA</v>
      </c>
      <c r="AU75" s="661" t="str">
        <f t="shared" si="565"/>
        <v>NA</v>
      </c>
      <c r="AV75" s="661" t="str">
        <f t="shared" si="565"/>
        <v>NA</v>
      </c>
      <c r="AW75" s="661" t="str">
        <f t="shared" si="565"/>
        <v>NA</v>
      </c>
      <c r="AX75" s="661" t="str">
        <f t="shared" si="565"/>
        <v>NA</v>
      </c>
      <c r="AY75" s="661" t="str">
        <f t="shared" si="565"/>
        <v>NA</v>
      </c>
      <c r="AZ75" s="661" t="str">
        <f t="shared" si="565"/>
        <v>NA</v>
      </c>
      <c r="BA75" s="661" t="str">
        <f t="shared" si="565"/>
        <v>NA</v>
      </c>
      <c r="BB75" s="661" t="str">
        <f t="shared" si="565"/>
        <v>NA</v>
      </c>
      <c r="BC75" s="567"/>
      <c r="BD75" s="567"/>
      <c r="BE75" s="567"/>
      <c r="BF75" s="567"/>
      <c r="BG75" s="567"/>
      <c r="BH75" s="567"/>
      <c r="BI75" s="567"/>
      <c r="BJ75" s="567"/>
      <c r="BK75" s="567"/>
      <c r="BL75" s="567"/>
      <c r="BM75" s="567"/>
      <c r="BN75" s="567"/>
      <c r="BO75" s="567"/>
      <c r="BP75" s="567"/>
      <c r="BQ75" s="567"/>
      <c r="BR75" s="567"/>
      <c r="BS75" s="567"/>
      <c r="BT75" s="567"/>
    </row>
    <row r="76" spans="1:72" ht="14.5">
      <c r="A76" s="567"/>
      <c r="B76" s="619" t="s">
        <v>132</v>
      </c>
      <c r="C76" s="469"/>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A76" s="469"/>
      <c r="AB76" s="469"/>
      <c r="AC76" s="469"/>
      <c r="AD76" s="469"/>
      <c r="AE76" s="469"/>
      <c r="AF76" s="469">
        <f>IF(AF74="NA","NA",AF75/AF73)</f>
        <v>0.4220837043633125</v>
      </c>
      <c r="AG76" s="469">
        <f t="shared" ref="AG76:AP76" si="566">IF(AG74="NA","NA",AG75/AG73)</f>
        <v>0.39224910394265222</v>
      </c>
      <c r="AH76" s="469">
        <f t="shared" si="566"/>
        <v>0.97629310344827569</v>
      </c>
      <c r="AI76" s="469">
        <f t="shared" si="566"/>
        <v>1.4775405007363771</v>
      </c>
      <c r="AJ76" s="469">
        <f t="shared" si="566"/>
        <v>1.376843657817109</v>
      </c>
      <c r="AK76" s="469">
        <f t="shared" si="566"/>
        <v>1.3807164634146341</v>
      </c>
      <c r="AL76" s="469">
        <f t="shared" si="566"/>
        <v>1.3090841949778431</v>
      </c>
      <c r="AM76" s="469">
        <f t="shared" si="566"/>
        <v>1.3400763358778625</v>
      </c>
      <c r="AN76" s="469">
        <f t="shared" si="566"/>
        <v>1.0642076502732241</v>
      </c>
      <c r="AO76" s="469">
        <f t="shared" si="566"/>
        <v>0.90654205607476623</v>
      </c>
      <c r="AP76" s="469" t="str">
        <f t="shared" si="566"/>
        <v>NA</v>
      </c>
      <c r="AQ76" s="469" t="str">
        <f t="shared" ref="AQ76:BB76" si="567">IF(AQ74="NA","NA",AQ75/AQ73)</f>
        <v>NA</v>
      </c>
      <c r="AR76" s="469" t="str">
        <f t="shared" si="567"/>
        <v>NA</v>
      </c>
      <c r="AS76" s="469" t="str">
        <f t="shared" si="567"/>
        <v>NA</v>
      </c>
      <c r="AT76" s="469" t="str">
        <f t="shared" si="567"/>
        <v>NA</v>
      </c>
      <c r="AU76" s="469" t="str">
        <f t="shared" si="567"/>
        <v>NA</v>
      </c>
      <c r="AV76" s="469" t="str">
        <f t="shared" si="567"/>
        <v>NA</v>
      </c>
      <c r="AW76" s="469" t="str">
        <f t="shared" si="567"/>
        <v>NA</v>
      </c>
      <c r="AX76" s="469" t="str">
        <f t="shared" si="567"/>
        <v>NA</v>
      </c>
      <c r="AY76" s="469" t="str">
        <f t="shared" si="567"/>
        <v>NA</v>
      </c>
      <c r="AZ76" s="469" t="str">
        <f t="shared" si="567"/>
        <v>NA</v>
      </c>
      <c r="BA76" s="469" t="str">
        <f t="shared" si="567"/>
        <v>NA</v>
      </c>
      <c r="BB76" s="469" t="str">
        <f t="shared" si="567"/>
        <v>NA</v>
      </c>
      <c r="BC76" s="567"/>
      <c r="BD76" s="567"/>
      <c r="BE76" s="567"/>
      <c r="BF76" s="567"/>
      <c r="BG76" s="567"/>
      <c r="BH76" s="567"/>
      <c r="BI76" s="567"/>
      <c r="BJ76" s="567"/>
      <c r="BK76" s="567"/>
      <c r="BL76" s="567"/>
      <c r="BM76" s="567"/>
      <c r="BN76" s="567"/>
      <c r="BO76" s="567"/>
      <c r="BP76" s="567"/>
      <c r="BQ76" s="567"/>
      <c r="BR76" s="567"/>
      <c r="BS76" s="567"/>
      <c r="BT76" s="567"/>
    </row>
    <row r="77" spans="1:72">
      <c r="A77" s="567"/>
      <c r="B77" s="528" t="s">
        <v>130</v>
      </c>
      <c r="C77" s="526"/>
      <c r="D77" s="526"/>
      <c r="E77" s="526"/>
      <c r="F77" s="526"/>
      <c r="G77" s="526"/>
      <c r="H77" s="526"/>
      <c r="I77" s="526"/>
      <c r="J77" s="526"/>
      <c r="K77" s="526"/>
      <c r="L77" s="526"/>
      <c r="M77" s="526"/>
      <c r="N77" s="526"/>
      <c r="O77" s="526"/>
      <c r="P77" s="526"/>
      <c r="Q77" s="526"/>
      <c r="R77" s="526"/>
      <c r="S77" s="526"/>
      <c r="T77" s="526"/>
      <c r="U77" s="526"/>
      <c r="V77" s="526"/>
      <c r="W77" s="526"/>
      <c r="X77" s="526"/>
      <c r="Y77" s="526"/>
      <c r="Z77" s="526"/>
      <c r="AA77" s="526"/>
      <c r="AB77" s="526"/>
      <c r="AC77" s="526"/>
      <c r="AD77" s="526"/>
      <c r="AE77" s="526"/>
      <c r="AF77" s="526" t="str">
        <f>IF(AF74="NA","NA",(IF(AF73&lt;=AF74,"Compliant","Violation")))</f>
        <v>Compliant</v>
      </c>
      <c r="AG77" s="526" t="str">
        <f t="shared" ref="AG77:AP77" si="568">IF(AG74="NA","NA",(IF(AG73&lt;=AG74,"Compliant","Violation")))</f>
        <v>Compliant</v>
      </c>
      <c r="AH77" s="526" t="str">
        <f t="shared" si="568"/>
        <v>Compliant</v>
      </c>
      <c r="AI77" s="526" t="str">
        <f t="shared" si="568"/>
        <v>Compliant</v>
      </c>
      <c r="AJ77" s="526" t="str">
        <f t="shared" si="568"/>
        <v>Compliant</v>
      </c>
      <c r="AK77" s="526" t="str">
        <f t="shared" si="568"/>
        <v>Compliant</v>
      </c>
      <c r="AL77" s="526" t="str">
        <f t="shared" si="568"/>
        <v>Compliant</v>
      </c>
      <c r="AM77" s="526" t="str">
        <f t="shared" si="568"/>
        <v>Compliant</v>
      </c>
      <c r="AN77" s="526" t="str">
        <f t="shared" si="568"/>
        <v>Compliant</v>
      </c>
      <c r="AO77" s="526" t="str">
        <f t="shared" si="568"/>
        <v>Compliant</v>
      </c>
      <c r="AP77" s="526" t="str">
        <f t="shared" si="568"/>
        <v>NA</v>
      </c>
      <c r="AQ77" s="526" t="str">
        <f t="shared" ref="AQ77:BB77" si="569">IF(AQ74="NA","NA",(IF(AQ73&lt;=AQ74,"Compliant","Violation")))</f>
        <v>NA</v>
      </c>
      <c r="AR77" s="526" t="str">
        <f t="shared" si="569"/>
        <v>NA</v>
      </c>
      <c r="AS77" s="526" t="str">
        <f t="shared" si="569"/>
        <v>NA</v>
      </c>
      <c r="AT77" s="526" t="str">
        <f t="shared" si="569"/>
        <v>NA</v>
      </c>
      <c r="AU77" s="526" t="str">
        <f t="shared" si="569"/>
        <v>NA</v>
      </c>
      <c r="AV77" s="526" t="str">
        <f t="shared" si="569"/>
        <v>NA</v>
      </c>
      <c r="AW77" s="526" t="str">
        <f t="shared" si="569"/>
        <v>NA</v>
      </c>
      <c r="AX77" s="526" t="str">
        <f t="shared" si="569"/>
        <v>NA</v>
      </c>
      <c r="AY77" s="526" t="str">
        <f t="shared" si="569"/>
        <v>NA</v>
      </c>
      <c r="AZ77" s="526" t="str">
        <f t="shared" si="569"/>
        <v>NA</v>
      </c>
      <c r="BA77" s="526" t="str">
        <f t="shared" si="569"/>
        <v>NA</v>
      </c>
      <c r="BB77" s="526" t="str">
        <f t="shared" si="569"/>
        <v>NA</v>
      </c>
      <c r="BC77" s="567"/>
      <c r="BD77" s="567"/>
      <c r="BE77" s="567"/>
      <c r="BF77" s="567"/>
      <c r="BG77" s="567"/>
      <c r="BH77" s="567"/>
      <c r="BI77" s="567"/>
      <c r="BJ77" s="567"/>
      <c r="BK77" s="567"/>
      <c r="BL77" s="567"/>
      <c r="BM77" s="567"/>
      <c r="BN77" s="567"/>
      <c r="BO77" s="567"/>
      <c r="BP77" s="567"/>
      <c r="BQ77" s="567"/>
      <c r="BR77" s="567"/>
      <c r="BS77" s="567"/>
      <c r="BT77" s="567"/>
    </row>
    <row r="78" spans="1:72">
      <c r="A78" s="567"/>
      <c r="B78" s="567"/>
      <c r="C78" s="567"/>
      <c r="D78" s="567"/>
      <c r="E78" s="567"/>
      <c r="F78" s="567"/>
      <c r="G78" s="567"/>
      <c r="H78" s="567"/>
      <c r="I78" s="567"/>
      <c r="J78" s="567"/>
      <c r="K78" s="567"/>
      <c r="L78" s="567"/>
      <c r="M78" s="567"/>
      <c r="N78" s="567"/>
      <c r="O78" s="567"/>
      <c r="P78" s="567"/>
      <c r="Q78" s="567"/>
      <c r="R78" s="567"/>
      <c r="S78" s="567"/>
      <c r="T78" s="567"/>
      <c r="U78" s="567"/>
      <c r="V78" s="567"/>
      <c r="W78" s="567"/>
      <c r="X78" s="567"/>
      <c r="Y78" s="567"/>
      <c r="Z78" s="567"/>
      <c r="AA78" s="567"/>
      <c r="AB78" s="567"/>
      <c r="AC78" s="567"/>
      <c r="AD78" s="567"/>
      <c r="AE78" s="567"/>
      <c r="AF78" s="567"/>
      <c r="AG78" s="567"/>
      <c r="AH78" s="567"/>
      <c r="AI78" s="567"/>
      <c r="AJ78" s="567"/>
      <c r="AK78" s="567"/>
      <c r="AL78" s="567"/>
      <c r="AM78" s="567"/>
      <c r="AN78" s="567"/>
      <c r="AO78" s="567"/>
      <c r="AP78" s="567"/>
      <c r="AQ78" s="567"/>
      <c r="AR78" s="567"/>
      <c r="AS78" s="567"/>
      <c r="AT78" s="567"/>
      <c r="AU78" s="567"/>
      <c r="AV78" s="567"/>
      <c r="AW78" s="567"/>
      <c r="AX78" s="567"/>
      <c r="AY78" s="567"/>
      <c r="AZ78" s="567"/>
      <c r="BA78" s="567"/>
      <c r="BB78" s="567"/>
      <c r="BC78" s="567"/>
      <c r="BD78" s="567"/>
      <c r="BE78" s="567"/>
      <c r="BF78" s="567"/>
      <c r="BG78" s="567"/>
      <c r="BH78" s="567"/>
      <c r="BI78" s="567"/>
      <c r="BJ78" s="567"/>
      <c r="BK78" s="567"/>
      <c r="BL78" s="567"/>
      <c r="BM78" s="567"/>
      <c r="BN78" s="567"/>
      <c r="BO78" s="567"/>
      <c r="BP78" s="567"/>
      <c r="BQ78" s="567"/>
      <c r="BR78" s="567"/>
      <c r="BS78" s="567"/>
      <c r="BT78" s="567"/>
    </row>
    <row r="79" spans="1:72">
      <c r="A79" s="567"/>
      <c r="B79" s="164" t="s">
        <v>285</v>
      </c>
      <c r="C79" s="165">
        <f>C70</f>
        <v>42369</v>
      </c>
      <c r="D79" s="165">
        <f>EOMONTH(C79,3)</f>
        <v>42460</v>
      </c>
      <c r="E79" s="165">
        <f t="shared" ref="E79" si="570">EOMONTH(D79,3)</f>
        <v>42551</v>
      </c>
      <c r="F79" s="165">
        <f t="shared" ref="F79" si="571">EOMONTH(E79,3)</f>
        <v>42643</v>
      </c>
      <c r="G79" s="165">
        <f t="shared" ref="G79" si="572">EOMONTH(F79,3)</f>
        <v>42735</v>
      </c>
      <c r="H79" s="165">
        <f t="shared" ref="H79" si="573">EOMONTH(G79,3)</f>
        <v>42825</v>
      </c>
      <c r="I79" s="165">
        <f t="shared" ref="I79" si="574">EOMONTH(H79,3)</f>
        <v>42916</v>
      </c>
      <c r="J79" s="165">
        <f t="shared" ref="J79" si="575">EOMONTH(I79,3)</f>
        <v>43008</v>
      </c>
      <c r="K79" s="165">
        <f t="shared" ref="K79" si="576">EOMONTH(J79,3)</f>
        <v>43100</v>
      </c>
      <c r="L79" s="165">
        <f t="shared" ref="L79" si="577">EOMONTH(K79,3)</f>
        <v>43190</v>
      </c>
      <c r="M79" s="165">
        <f t="shared" ref="M79" si="578">EOMONTH(L79,3)</f>
        <v>43281</v>
      </c>
      <c r="N79" s="165">
        <f t="shared" ref="N79" si="579">EOMONTH(M79,3)</f>
        <v>43373</v>
      </c>
      <c r="O79" s="165">
        <f t="shared" ref="O79" si="580">EOMONTH(N79,3)</f>
        <v>43465</v>
      </c>
      <c r="P79" s="165">
        <f t="shared" ref="P79" si="581">EOMONTH(O79,3)</f>
        <v>43555</v>
      </c>
      <c r="Q79" s="165">
        <f t="shared" ref="Q79" si="582">EOMONTH(P79,3)</f>
        <v>43646</v>
      </c>
      <c r="R79" s="165">
        <f t="shared" ref="R79" si="583">EOMONTH(Q79,3)</f>
        <v>43738</v>
      </c>
      <c r="S79" s="165">
        <f t="shared" ref="S79" si="584">EOMONTH(R79,3)</f>
        <v>43830</v>
      </c>
      <c r="T79" s="165">
        <f t="shared" ref="T79" si="585">EOMONTH(S79,3)</f>
        <v>43921</v>
      </c>
      <c r="U79" s="165">
        <f t="shared" ref="U79" si="586">EOMONTH(T79,3)</f>
        <v>44012</v>
      </c>
      <c r="V79" s="165">
        <f t="shared" ref="V79" si="587">EOMONTH(U79,3)</f>
        <v>44104</v>
      </c>
      <c r="W79" s="165">
        <f t="shared" ref="W79" si="588">EOMONTH(V79,3)</f>
        <v>44196</v>
      </c>
      <c r="X79" s="165">
        <f t="shared" ref="X79" si="589">EOMONTH(W79,3)</f>
        <v>44286</v>
      </c>
      <c r="Y79" s="165">
        <f t="shared" ref="Y79" si="590">EOMONTH(X79,3)</f>
        <v>44377</v>
      </c>
      <c r="Z79" s="165">
        <f t="shared" ref="Z79" si="591">EOMONTH(Y79,3)</f>
        <v>44469</v>
      </c>
      <c r="AA79" s="165">
        <f t="shared" ref="AA79" si="592">EOMONTH(Z79,3)</f>
        <v>44561</v>
      </c>
      <c r="AB79" s="165">
        <f t="shared" ref="AB79" si="593">EOMONTH(AA79,3)</f>
        <v>44651</v>
      </c>
      <c r="AC79" s="165">
        <f t="shared" ref="AC79" si="594">EOMONTH(AB79,3)</f>
        <v>44742</v>
      </c>
      <c r="AD79" s="165">
        <f t="shared" ref="AD79" si="595">EOMONTH(AC79,3)</f>
        <v>44834</v>
      </c>
      <c r="AE79" s="165">
        <f t="shared" ref="AE79" si="596">EOMONTH(AD79,3)</f>
        <v>44926</v>
      </c>
      <c r="AF79" s="165">
        <f t="shared" ref="AF79" si="597">EOMONTH(AE79,3)</f>
        <v>45016</v>
      </c>
      <c r="AG79" s="165">
        <f t="shared" ref="AG79" si="598">EOMONTH(AF79,3)</f>
        <v>45107</v>
      </c>
      <c r="AH79" s="165">
        <f t="shared" ref="AH79" si="599">EOMONTH(AG79,3)</f>
        <v>45199</v>
      </c>
      <c r="AI79" s="165">
        <f t="shared" ref="AI79" si="600">EOMONTH(AH79,3)</f>
        <v>45291</v>
      </c>
      <c r="AJ79" s="165">
        <f t="shared" ref="AJ79" si="601">EOMONTH(AI79,3)</f>
        <v>45382</v>
      </c>
      <c r="AK79" s="165">
        <f t="shared" ref="AK79" si="602">EOMONTH(AJ79,3)</f>
        <v>45473</v>
      </c>
      <c r="AL79" s="165">
        <f t="shared" ref="AL79" si="603">EOMONTH(AK79,3)</f>
        <v>45565</v>
      </c>
      <c r="AM79" s="165">
        <f t="shared" ref="AM79" si="604">EOMONTH(AL79,3)</f>
        <v>45657</v>
      </c>
      <c r="AN79" s="165">
        <f t="shared" ref="AN79" si="605">EOMONTH(AM79,3)</f>
        <v>45747</v>
      </c>
      <c r="AO79" s="165">
        <f t="shared" ref="AO79" si="606">EOMONTH(AN79,3)</f>
        <v>45838</v>
      </c>
      <c r="AP79" s="165">
        <f t="shared" ref="AP79" si="607">EOMONTH(AO79,3)</f>
        <v>45930</v>
      </c>
      <c r="AQ79" s="165">
        <f t="shared" ref="AQ79" si="608">EOMONTH(AP79,3)</f>
        <v>46022</v>
      </c>
      <c r="AR79" s="165">
        <f t="shared" ref="AR79" si="609">EOMONTH(AQ79,3)</f>
        <v>46112</v>
      </c>
      <c r="AS79" s="165">
        <f t="shared" ref="AS79" si="610">EOMONTH(AR79,3)</f>
        <v>46203</v>
      </c>
      <c r="AT79" s="165">
        <f t="shared" ref="AT79" si="611">EOMONTH(AS79,3)</f>
        <v>46295</v>
      </c>
      <c r="AU79" s="165">
        <f t="shared" ref="AU79" si="612">EOMONTH(AT79,3)</f>
        <v>46387</v>
      </c>
      <c r="AV79" s="165">
        <f t="shared" ref="AV79" si="613">EOMONTH(AU79,3)</f>
        <v>46477</v>
      </c>
      <c r="AW79" s="165">
        <f t="shared" ref="AW79" si="614">EOMONTH(AV79,3)</f>
        <v>46568</v>
      </c>
      <c r="AX79" s="165">
        <f t="shared" ref="AX79" si="615">EOMONTH(AW79,3)</f>
        <v>46660</v>
      </c>
      <c r="AY79" s="165">
        <f t="shared" ref="AY79" si="616">EOMONTH(AX79,3)</f>
        <v>46752</v>
      </c>
      <c r="AZ79" s="165">
        <f t="shared" ref="AZ79" si="617">EOMONTH(AY79,3)</f>
        <v>46843</v>
      </c>
      <c r="BA79" s="165">
        <f t="shared" ref="BA79" si="618">EOMONTH(AZ79,3)</f>
        <v>46934</v>
      </c>
      <c r="BB79" s="165">
        <f t="shared" ref="BB79" si="619">EOMONTH(BA79,3)</f>
        <v>47026</v>
      </c>
      <c r="BC79" s="567"/>
      <c r="BD79" s="567"/>
      <c r="BE79" s="567"/>
      <c r="BF79" s="567"/>
      <c r="BG79" s="567"/>
      <c r="BH79" s="567"/>
      <c r="BI79" s="567"/>
      <c r="BJ79" s="567"/>
      <c r="BK79" s="567"/>
      <c r="BL79" s="567"/>
      <c r="BM79" s="567"/>
      <c r="BN79" s="567"/>
      <c r="BO79" s="567"/>
      <c r="BP79" s="567"/>
      <c r="BQ79" s="567"/>
      <c r="BR79" s="567"/>
      <c r="BS79" s="567"/>
      <c r="BT79" s="567"/>
    </row>
    <row r="80" spans="1:72" ht="28">
      <c r="A80" s="567"/>
      <c r="B80" s="654" t="s">
        <v>286</v>
      </c>
      <c r="C80" s="169"/>
      <c r="D80" s="169"/>
      <c r="E80" s="169"/>
      <c r="F80" s="169"/>
      <c r="G80" s="169"/>
      <c r="H80" s="169"/>
      <c r="I80" s="169"/>
      <c r="J80" s="169"/>
      <c r="K80" s="169"/>
      <c r="L80" s="169"/>
      <c r="M80" s="169"/>
      <c r="N80" s="169"/>
      <c r="O80" s="169"/>
      <c r="P80" s="169"/>
      <c r="Q80" s="169"/>
      <c r="R80" s="169"/>
      <c r="S80" s="169"/>
      <c r="T80" s="169"/>
      <c r="U80" s="169"/>
      <c r="V80" s="169"/>
      <c r="W80" s="169"/>
      <c r="X80" s="169"/>
      <c r="Y80" s="169"/>
      <c r="Z80" s="169"/>
      <c r="AA80" s="569"/>
      <c r="AB80" s="569"/>
      <c r="AC80" s="569"/>
      <c r="AD80" s="569"/>
      <c r="AE80" s="569"/>
      <c r="AF80" s="657">
        <v>0</v>
      </c>
      <c r="AG80" s="169">
        <v>0</v>
      </c>
      <c r="AH80" s="169">
        <v>0</v>
      </c>
      <c r="AI80" s="169">
        <v>0</v>
      </c>
      <c r="AJ80" s="169">
        <v>0</v>
      </c>
      <c r="AK80" s="169">
        <v>0</v>
      </c>
      <c r="AL80" s="169">
        <v>0</v>
      </c>
      <c r="AM80" s="169">
        <v>0</v>
      </c>
      <c r="AN80" s="169">
        <v>0</v>
      </c>
      <c r="AO80" s="169">
        <v>0</v>
      </c>
      <c r="AP80" s="169">
        <v>0</v>
      </c>
      <c r="AQ80" s="169">
        <v>0</v>
      </c>
      <c r="AR80" s="169">
        <v>0</v>
      </c>
      <c r="AS80" s="169"/>
      <c r="AT80" s="169"/>
      <c r="AU80" s="169"/>
      <c r="AV80" s="169"/>
      <c r="AW80" s="169"/>
      <c r="AX80" s="169"/>
      <c r="AY80" s="169"/>
      <c r="AZ80" s="169"/>
      <c r="BA80" s="169"/>
      <c r="BB80" s="169"/>
      <c r="BC80" s="567"/>
      <c r="BD80" s="567"/>
      <c r="BE80" s="567"/>
      <c r="BF80" s="567"/>
      <c r="BG80" s="567"/>
      <c r="BH80" s="567"/>
      <c r="BI80" s="567"/>
      <c r="BJ80" s="567"/>
      <c r="BK80" s="567"/>
      <c r="BL80" s="567"/>
      <c r="BM80" s="567"/>
      <c r="BN80" s="567"/>
      <c r="BO80" s="567"/>
      <c r="BP80" s="567"/>
      <c r="BQ80" s="567"/>
      <c r="BR80" s="567"/>
      <c r="BS80" s="567"/>
      <c r="BT80" s="567"/>
    </row>
    <row r="81" spans="1:72">
      <c r="A81" s="567"/>
      <c r="B81" s="655" t="s">
        <v>287</v>
      </c>
      <c r="C81" s="546"/>
      <c r="D81" s="546"/>
      <c r="E81" s="546"/>
      <c r="F81" s="546"/>
      <c r="G81" s="546"/>
      <c r="H81" s="546"/>
      <c r="I81" s="546"/>
      <c r="J81" s="546"/>
      <c r="K81" s="546"/>
      <c r="L81" s="546"/>
      <c r="M81" s="546"/>
      <c r="N81" s="546"/>
      <c r="O81" s="546"/>
      <c r="P81" s="546"/>
      <c r="Q81" s="546"/>
      <c r="R81" s="546"/>
      <c r="S81" s="546"/>
      <c r="T81" s="546"/>
      <c r="U81" s="546"/>
      <c r="V81" s="546"/>
      <c r="W81" s="546"/>
      <c r="X81" s="546"/>
      <c r="Y81" s="546"/>
      <c r="Z81" s="546"/>
      <c r="AA81" s="546"/>
      <c r="AB81" s="546"/>
      <c r="AC81" s="546"/>
      <c r="AD81" s="546"/>
      <c r="AE81" s="546"/>
      <c r="AF81" s="656">
        <f>AF80</f>
        <v>0</v>
      </c>
      <c r="AG81" s="656">
        <f t="shared" ref="AG81:AP81" si="620">AG80</f>
        <v>0</v>
      </c>
      <c r="AH81" s="656">
        <f t="shared" si="620"/>
        <v>0</v>
      </c>
      <c r="AI81" s="656">
        <f t="shared" si="620"/>
        <v>0</v>
      </c>
      <c r="AJ81" s="656">
        <f t="shared" si="620"/>
        <v>0</v>
      </c>
      <c r="AK81" s="656">
        <f t="shared" si="620"/>
        <v>0</v>
      </c>
      <c r="AL81" s="656">
        <f t="shared" si="620"/>
        <v>0</v>
      </c>
      <c r="AM81" s="656">
        <f t="shared" si="620"/>
        <v>0</v>
      </c>
      <c r="AN81" s="656">
        <f t="shared" si="620"/>
        <v>0</v>
      </c>
      <c r="AO81" s="656">
        <f t="shared" si="620"/>
        <v>0</v>
      </c>
      <c r="AP81" s="656">
        <f t="shared" si="620"/>
        <v>0</v>
      </c>
      <c r="AQ81" s="656">
        <f t="shared" ref="AQ81:BB81" si="621">AQ80</f>
        <v>0</v>
      </c>
      <c r="AR81" s="656">
        <f t="shared" si="621"/>
        <v>0</v>
      </c>
      <c r="AS81" s="656">
        <f t="shared" si="621"/>
        <v>0</v>
      </c>
      <c r="AT81" s="656">
        <f t="shared" si="621"/>
        <v>0</v>
      </c>
      <c r="AU81" s="656">
        <f t="shared" si="621"/>
        <v>0</v>
      </c>
      <c r="AV81" s="656">
        <f t="shared" si="621"/>
        <v>0</v>
      </c>
      <c r="AW81" s="656">
        <f t="shared" si="621"/>
        <v>0</v>
      </c>
      <c r="AX81" s="656">
        <f t="shared" si="621"/>
        <v>0</v>
      </c>
      <c r="AY81" s="656">
        <f t="shared" si="621"/>
        <v>0</v>
      </c>
      <c r="AZ81" s="656">
        <f t="shared" si="621"/>
        <v>0</v>
      </c>
      <c r="BA81" s="656">
        <f t="shared" si="621"/>
        <v>0</v>
      </c>
      <c r="BB81" s="656">
        <f t="shared" si="621"/>
        <v>0</v>
      </c>
      <c r="BC81" s="567"/>
      <c r="BD81" s="567"/>
      <c r="BE81" s="567"/>
      <c r="BF81" s="567"/>
      <c r="BG81" s="567"/>
      <c r="BH81" s="567"/>
      <c r="BI81" s="567"/>
      <c r="BJ81" s="567"/>
      <c r="BK81" s="567"/>
      <c r="BL81" s="567"/>
      <c r="BM81" s="567"/>
      <c r="BN81" s="567"/>
      <c r="BO81" s="567"/>
      <c r="BP81" s="567"/>
      <c r="BQ81" s="567"/>
      <c r="BR81" s="567"/>
      <c r="BS81" s="567"/>
      <c r="BT81" s="567"/>
    </row>
    <row r="82" spans="1:72">
      <c r="A82" s="567"/>
      <c r="B82" s="105" t="s">
        <v>129</v>
      </c>
      <c r="C82" s="547"/>
      <c r="D82" s="547"/>
      <c r="E82" s="547"/>
      <c r="F82" s="547"/>
      <c r="G82" s="547"/>
      <c r="H82" s="547"/>
      <c r="I82" s="547"/>
      <c r="J82" s="547"/>
      <c r="K82" s="547"/>
      <c r="L82" s="547"/>
      <c r="M82" s="547"/>
      <c r="N82" s="547"/>
      <c r="O82" s="547"/>
      <c r="P82" s="547"/>
      <c r="Q82" s="547"/>
      <c r="R82" s="547"/>
      <c r="S82" s="547"/>
      <c r="T82" s="547"/>
      <c r="U82" s="547"/>
      <c r="V82" s="547"/>
      <c r="W82" s="547"/>
      <c r="X82" s="547"/>
      <c r="Y82" s="547"/>
      <c r="Z82" s="547"/>
      <c r="AA82" s="547"/>
      <c r="AB82" s="547"/>
      <c r="AC82" s="547"/>
      <c r="AD82" s="547"/>
      <c r="AE82" s="547"/>
      <c r="AF82" s="586">
        <v>0</v>
      </c>
      <c r="AG82" s="586">
        <f>AF82</f>
        <v>0</v>
      </c>
      <c r="AH82" s="586">
        <f t="shared" ref="AH82:AO82" si="622">AG82</f>
        <v>0</v>
      </c>
      <c r="AI82" s="586">
        <f t="shared" si="622"/>
        <v>0</v>
      </c>
      <c r="AJ82" s="586">
        <f t="shared" si="622"/>
        <v>0</v>
      </c>
      <c r="AK82" s="586">
        <f t="shared" si="622"/>
        <v>0</v>
      </c>
      <c r="AL82" s="586">
        <f t="shared" si="622"/>
        <v>0</v>
      </c>
      <c r="AM82" s="586">
        <f t="shared" si="622"/>
        <v>0</v>
      </c>
      <c r="AN82" s="586">
        <f t="shared" si="622"/>
        <v>0</v>
      </c>
      <c r="AO82" s="586">
        <f t="shared" si="622"/>
        <v>0</v>
      </c>
      <c r="AP82" s="586">
        <f>AO82</f>
        <v>0</v>
      </c>
      <c r="AQ82" s="586">
        <f>AP82</f>
        <v>0</v>
      </c>
      <c r="AR82" s="171">
        <v>0</v>
      </c>
      <c r="AS82" s="171"/>
      <c r="AT82" s="171"/>
      <c r="AU82" s="171"/>
      <c r="AV82" s="171"/>
      <c r="AW82" s="171"/>
      <c r="AX82" s="171"/>
      <c r="AY82" s="171"/>
      <c r="AZ82" s="171"/>
      <c r="BA82" s="171"/>
      <c r="BB82" s="171"/>
      <c r="BC82" s="567"/>
      <c r="BD82" s="567"/>
      <c r="BE82" s="567"/>
      <c r="BF82" s="567"/>
      <c r="BG82" s="567"/>
      <c r="BH82" s="567"/>
      <c r="BI82" s="567"/>
      <c r="BJ82" s="567"/>
      <c r="BK82" s="567"/>
      <c r="BL82" s="567"/>
      <c r="BM82" s="567"/>
      <c r="BN82" s="567"/>
      <c r="BO82" s="567"/>
      <c r="BP82" s="567"/>
      <c r="BQ82" s="567"/>
      <c r="BR82" s="567"/>
      <c r="BS82" s="567"/>
      <c r="BT82" s="567"/>
    </row>
    <row r="83" spans="1:72" ht="14.5">
      <c r="A83" s="567"/>
      <c r="B83" s="106" t="s">
        <v>131</v>
      </c>
      <c r="C83" s="569"/>
      <c r="D83" s="569"/>
      <c r="E83" s="569"/>
      <c r="F83" s="569"/>
      <c r="G83" s="569"/>
      <c r="H83" s="569"/>
      <c r="I83" s="569"/>
      <c r="J83" s="569"/>
      <c r="K83" s="569"/>
      <c r="L83" s="569"/>
      <c r="M83" s="569"/>
      <c r="N83" s="569"/>
      <c r="O83" s="569"/>
      <c r="P83" s="569"/>
      <c r="Q83" s="569"/>
      <c r="R83" s="569"/>
      <c r="S83" s="569"/>
      <c r="T83" s="569"/>
      <c r="U83" s="569"/>
      <c r="V83" s="569"/>
      <c r="W83" s="569"/>
      <c r="X83" s="569"/>
      <c r="Y83" s="569"/>
      <c r="Z83" s="569"/>
      <c r="AA83" s="569"/>
      <c r="AB83" s="569"/>
      <c r="AC83" s="569"/>
      <c r="AD83" s="569"/>
      <c r="AE83" s="569"/>
      <c r="AF83" s="569">
        <f>IF(AF82="NA","NA",AF82-AF81)</f>
        <v>0</v>
      </c>
      <c r="AG83" s="569">
        <f t="shared" ref="AG83:AP83" si="623">IF(AG82="NA","NA",AG82-AG81)</f>
        <v>0</v>
      </c>
      <c r="AH83" s="569">
        <f t="shared" si="623"/>
        <v>0</v>
      </c>
      <c r="AI83" s="569">
        <f t="shared" si="623"/>
        <v>0</v>
      </c>
      <c r="AJ83" s="569">
        <f t="shared" si="623"/>
        <v>0</v>
      </c>
      <c r="AK83" s="569">
        <f t="shared" si="623"/>
        <v>0</v>
      </c>
      <c r="AL83" s="569">
        <f t="shared" si="623"/>
        <v>0</v>
      </c>
      <c r="AM83" s="569">
        <f t="shared" si="623"/>
        <v>0</v>
      </c>
      <c r="AN83" s="569">
        <f t="shared" si="623"/>
        <v>0</v>
      </c>
      <c r="AO83" s="569">
        <f t="shared" si="623"/>
        <v>0</v>
      </c>
      <c r="AP83" s="569">
        <f t="shared" si="623"/>
        <v>0</v>
      </c>
      <c r="AQ83" s="569">
        <f t="shared" ref="AQ83:BB83" si="624">IF(AQ82="NA","NA",AQ82-AQ81)</f>
        <v>0</v>
      </c>
      <c r="AR83" s="569">
        <f t="shared" si="624"/>
        <v>0</v>
      </c>
      <c r="AS83" s="569">
        <f t="shared" si="624"/>
        <v>0</v>
      </c>
      <c r="AT83" s="569">
        <f t="shared" si="624"/>
        <v>0</v>
      </c>
      <c r="AU83" s="569">
        <f t="shared" si="624"/>
        <v>0</v>
      </c>
      <c r="AV83" s="569">
        <f t="shared" si="624"/>
        <v>0</v>
      </c>
      <c r="AW83" s="569">
        <f t="shared" si="624"/>
        <v>0</v>
      </c>
      <c r="AX83" s="569">
        <f t="shared" si="624"/>
        <v>0</v>
      </c>
      <c r="AY83" s="569">
        <f t="shared" si="624"/>
        <v>0</v>
      </c>
      <c r="AZ83" s="569">
        <f t="shared" si="624"/>
        <v>0</v>
      </c>
      <c r="BA83" s="569">
        <f t="shared" si="624"/>
        <v>0</v>
      </c>
      <c r="BB83" s="569">
        <f t="shared" si="624"/>
        <v>0</v>
      </c>
      <c r="BC83" s="567"/>
      <c r="BD83" s="567"/>
      <c r="BE83" s="567"/>
      <c r="BF83" s="567"/>
      <c r="BG83" s="567"/>
      <c r="BH83" s="567"/>
      <c r="BI83" s="567"/>
      <c r="BJ83" s="567"/>
      <c r="BK83" s="567"/>
      <c r="BL83" s="567"/>
      <c r="BM83" s="567"/>
      <c r="BN83" s="567"/>
      <c r="BO83" s="567"/>
      <c r="BP83" s="567"/>
      <c r="BQ83" s="567"/>
      <c r="BR83" s="567"/>
      <c r="BS83" s="567"/>
      <c r="BT83" s="567"/>
    </row>
    <row r="84" spans="1:72" ht="14.5">
      <c r="A84" s="567"/>
      <c r="B84" s="619" t="s">
        <v>132</v>
      </c>
      <c r="C84" s="469"/>
      <c r="D84" s="469"/>
      <c r="E84" s="469"/>
      <c r="F84" s="469"/>
      <c r="G84" s="469"/>
      <c r="H84" s="469"/>
      <c r="I84" s="469"/>
      <c r="J84" s="469"/>
      <c r="K84" s="469"/>
      <c r="L84" s="469"/>
      <c r="M84" s="469"/>
      <c r="N84" s="469"/>
      <c r="O84" s="469"/>
      <c r="P84" s="469"/>
      <c r="Q84" s="469"/>
      <c r="R84" s="469"/>
      <c r="S84" s="469"/>
      <c r="T84" s="469"/>
      <c r="U84" s="469"/>
      <c r="V84" s="469"/>
      <c r="W84" s="469"/>
      <c r="X84" s="469"/>
      <c r="Y84" s="469"/>
      <c r="Z84" s="469"/>
      <c r="AA84" s="469"/>
      <c r="AB84" s="469"/>
      <c r="AC84" s="469"/>
      <c r="AD84" s="469"/>
      <c r="AE84" s="469"/>
      <c r="AF84" s="469" t="str">
        <f>IFERROR(AF83/AF81,"NA")</f>
        <v>NA</v>
      </c>
      <c r="AG84" s="469" t="str">
        <f t="shared" ref="AG84:AP84" si="625">IFERROR(AG83/AG81,"NA")</f>
        <v>NA</v>
      </c>
      <c r="AH84" s="469" t="str">
        <f t="shared" si="625"/>
        <v>NA</v>
      </c>
      <c r="AI84" s="469" t="str">
        <f t="shared" si="625"/>
        <v>NA</v>
      </c>
      <c r="AJ84" s="469" t="str">
        <f t="shared" si="625"/>
        <v>NA</v>
      </c>
      <c r="AK84" s="469" t="str">
        <f t="shared" si="625"/>
        <v>NA</v>
      </c>
      <c r="AL84" s="469" t="str">
        <f t="shared" si="625"/>
        <v>NA</v>
      </c>
      <c r="AM84" s="469" t="str">
        <f t="shared" si="625"/>
        <v>NA</v>
      </c>
      <c r="AN84" s="469" t="str">
        <f t="shared" si="625"/>
        <v>NA</v>
      </c>
      <c r="AO84" s="469" t="str">
        <f t="shared" si="625"/>
        <v>NA</v>
      </c>
      <c r="AP84" s="469" t="str">
        <f t="shared" si="625"/>
        <v>NA</v>
      </c>
      <c r="AQ84" s="469" t="str">
        <f t="shared" ref="AQ84:BB84" si="626">IFERROR(AQ83/AQ81,"NA")</f>
        <v>NA</v>
      </c>
      <c r="AR84" s="469" t="str">
        <f t="shared" si="626"/>
        <v>NA</v>
      </c>
      <c r="AS84" s="469" t="str">
        <f t="shared" si="626"/>
        <v>NA</v>
      </c>
      <c r="AT84" s="469" t="str">
        <f t="shared" si="626"/>
        <v>NA</v>
      </c>
      <c r="AU84" s="469" t="str">
        <f t="shared" si="626"/>
        <v>NA</v>
      </c>
      <c r="AV84" s="469" t="str">
        <f t="shared" si="626"/>
        <v>NA</v>
      </c>
      <c r="AW84" s="469" t="str">
        <f t="shared" si="626"/>
        <v>NA</v>
      </c>
      <c r="AX84" s="469" t="str">
        <f t="shared" si="626"/>
        <v>NA</v>
      </c>
      <c r="AY84" s="469" t="str">
        <f t="shared" si="626"/>
        <v>NA</v>
      </c>
      <c r="AZ84" s="469" t="str">
        <f t="shared" si="626"/>
        <v>NA</v>
      </c>
      <c r="BA84" s="469" t="str">
        <f t="shared" si="626"/>
        <v>NA</v>
      </c>
      <c r="BB84" s="469" t="str">
        <f t="shared" si="626"/>
        <v>NA</v>
      </c>
      <c r="BC84" s="567"/>
      <c r="BD84" s="567"/>
      <c r="BE84" s="567"/>
      <c r="BF84" s="567"/>
      <c r="BG84" s="567"/>
      <c r="BH84" s="567"/>
      <c r="BI84" s="567"/>
      <c r="BJ84" s="567"/>
      <c r="BK84" s="567"/>
      <c r="BL84" s="567"/>
      <c r="BM84" s="567"/>
      <c r="BN84" s="567"/>
      <c r="BO84" s="567"/>
      <c r="BP84" s="567"/>
      <c r="BQ84" s="567"/>
      <c r="BR84" s="567"/>
      <c r="BS84" s="567"/>
      <c r="BT84" s="567"/>
    </row>
    <row r="85" spans="1:72">
      <c r="A85" s="567"/>
      <c r="B85" s="528" t="s">
        <v>130</v>
      </c>
      <c r="C85" s="526"/>
      <c r="D85" s="526"/>
      <c r="E85" s="526"/>
      <c r="F85" s="526"/>
      <c r="G85" s="526"/>
      <c r="H85" s="526"/>
      <c r="I85" s="526"/>
      <c r="J85" s="526"/>
      <c r="K85" s="526"/>
      <c r="L85" s="526"/>
      <c r="M85" s="526"/>
      <c r="N85" s="526"/>
      <c r="O85" s="526"/>
      <c r="P85" s="526"/>
      <c r="Q85" s="526"/>
      <c r="R85" s="526"/>
      <c r="S85" s="526"/>
      <c r="T85" s="526"/>
      <c r="U85" s="526"/>
      <c r="V85" s="526"/>
      <c r="W85" s="526"/>
      <c r="X85" s="526"/>
      <c r="Y85" s="526"/>
      <c r="Z85" s="526"/>
      <c r="AA85" s="526"/>
      <c r="AB85" s="526"/>
      <c r="AC85" s="526"/>
      <c r="AD85" s="526"/>
      <c r="AE85" s="526"/>
      <c r="AF85" s="526" t="str">
        <f>IF(AF82="NA","NA",(IF(AF81&lt;=AF82,"Compliant","Violation")))</f>
        <v>Compliant</v>
      </c>
      <c r="AG85" s="526" t="str">
        <f t="shared" ref="AG85:AP85" si="627">IF(AG82="NA","NA",(IF(AG81&lt;=AG82,"Compliant","Violation")))</f>
        <v>Compliant</v>
      </c>
      <c r="AH85" s="526" t="str">
        <f t="shared" si="627"/>
        <v>Compliant</v>
      </c>
      <c r="AI85" s="526" t="str">
        <f t="shared" si="627"/>
        <v>Compliant</v>
      </c>
      <c r="AJ85" s="526" t="str">
        <f t="shared" si="627"/>
        <v>Compliant</v>
      </c>
      <c r="AK85" s="526" t="str">
        <f t="shared" si="627"/>
        <v>Compliant</v>
      </c>
      <c r="AL85" s="526" t="str">
        <f t="shared" si="627"/>
        <v>Compliant</v>
      </c>
      <c r="AM85" s="526" t="str">
        <f t="shared" si="627"/>
        <v>Compliant</v>
      </c>
      <c r="AN85" s="526" t="str">
        <f t="shared" si="627"/>
        <v>Compliant</v>
      </c>
      <c r="AO85" s="526" t="str">
        <f t="shared" si="627"/>
        <v>Compliant</v>
      </c>
      <c r="AP85" s="526" t="str">
        <f t="shared" si="627"/>
        <v>Compliant</v>
      </c>
      <c r="AQ85" s="526" t="str">
        <f t="shared" ref="AQ85:BB85" si="628">IF(AQ82="NA","NA",(IF(AQ81&lt;=AQ82,"Compliant","Violation")))</f>
        <v>Compliant</v>
      </c>
      <c r="AR85" s="526" t="str">
        <f t="shared" si="628"/>
        <v>Compliant</v>
      </c>
      <c r="AS85" s="526" t="str">
        <f t="shared" si="628"/>
        <v>Compliant</v>
      </c>
      <c r="AT85" s="526" t="str">
        <f t="shared" si="628"/>
        <v>Compliant</v>
      </c>
      <c r="AU85" s="526" t="str">
        <f t="shared" si="628"/>
        <v>Compliant</v>
      </c>
      <c r="AV85" s="526" t="str">
        <f t="shared" si="628"/>
        <v>Compliant</v>
      </c>
      <c r="AW85" s="526" t="str">
        <f t="shared" si="628"/>
        <v>Compliant</v>
      </c>
      <c r="AX85" s="526" t="str">
        <f t="shared" si="628"/>
        <v>Compliant</v>
      </c>
      <c r="AY85" s="526" t="str">
        <f t="shared" si="628"/>
        <v>Compliant</v>
      </c>
      <c r="AZ85" s="526" t="str">
        <f t="shared" si="628"/>
        <v>Compliant</v>
      </c>
      <c r="BA85" s="526" t="str">
        <f t="shared" si="628"/>
        <v>Compliant</v>
      </c>
      <c r="BB85" s="526" t="str">
        <f t="shared" si="628"/>
        <v>Compliant</v>
      </c>
      <c r="BC85" s="567"/>
      <c r="BD85" s="567"/>
      <c r="BE85" s="567"/>
      <c r="BF85" s="567"/>
      <c r="BG85" s="567"/>
      <c r="BH85" s="567"/>
      <c r="BI85" s="567"/>
      <c r="BJ85" s="567"/>
      <c r="BK85" s="567"/>
      <c r="BL85" s="567"/>
      <c r="BM85" s="567"/>
      <c r="BN85" s="567"/>
      <c r="BO85" s="567"/>
      <c r="BP85" s="567"/>
      <c r="BQ85" s="567"/>
      <c r="BR85" s="567"/>
      <c r="BS85" s="567"/>
      <c r="BT85" s="567"/>
    </row>
    <row r="86" spans="1:72">
      <c r="A86" s="567"/>
      <c r="B86" s="567"/>
      <c r="C86" s="567"/>
      <c r="D86" s="567"/>
      <c r="E86" s="567"/>
      <c r="F86" s="567"/>
      <c r="G86" s="567"/>
      <c r="H86" s="567"/>
      <c r="I86" s="567"/>
      <c r="J86" s="567"/>
      <c r="K86" s="567"/>
      <c r="L86" s="567"/>
      <c r="M86" s="567"/>
      <c r="N86" s="567"/>
      <c r="O86" s="567"/>
      <c r="P86" s="567"/>
      <c r="Q86" s="567"/>
      <c r="R86" s="567"/>
      <c r="S86" s="567"/>
      <c r="T86" s="567"/>
      <c r="U86" s="567"/>
      <c r="V86" s="567"/>
      <c r="W86" s="567"/>
      <c r="X86" s="567"/>
      <c r="Y86" s="567"/>
      <c r="Z86" s="567"/>
      <c r="AA86" s="567"/>
      <c r="AB86" s="567"/>
      <c r="AC86" s="567"/>
      <c r="AD86" s="567"/>
      <c r="AE86" s="567"/>
      <c r="AF86" s="567"/>
      <c r="AG86" s="567"/>
      <c r="AH86" s="567"/>
      <c r="AI86" s="567"/>
      <c r="AJ86" s="567"/>
      <c r="AK86" s="567"/>
      <c r="AL86" s="567"/>
      <c r="AM86" s="567"/>
      <c r="AN86" s="567"/>
      <c r="AO86" s="567"/>
      <c r="AP86" s="567"/>
      <c r="AQ86" s="567"/>
      <c r="AR86" s="567"/>
      <c r="AS86" s="567"/>
      <c r="AT86" s="567"/>
      <c r="AU86" s="567"/>
      <c r="AV86" s="567"/>
      <c r="AW86" s="567"/>
      <c r="AX86" s="567"/>
      <c r="AY86" s="567"/>
      <c r="AZ86" s="567"/>
      <c r="BA86" s="567"/>
      <c r="BB86" s="567"/>
      <c r="BC86" s="567"/>
      <c r="BD86" s="567"/>
      <c r="BE86" s="567"/>
      <c r="BF86" s="567"/>
      <c r="BG86" s="567"/>
      <c r="BH86" s="567"/>
      <c r="BI86" s="567"/>
      <c r="BJ86" s="567"/>
      <c r="BK86" s="567"/>
      <c r="BL86" s="567"/>
      <c r="BM86" s="567"/>
      <c r="BN86" s="567"/>
      <c r="BO86" s="567"/>
      <c r="BP86" s="567"/>
      <c r="BQ86" s="567"/>
      <c r="BR86" s="567"/>
      <c r="BS86" s="567"/>
      <c r="BT86" s="567"/>
    </row>
    <row r="87" spans="1:72">
      <c r="A87" s="567"/>
      <c r="B87" s="164" t="s">
        <v>288</v>
      </c>
      <c r="C87" s="165">
        <f>C79</f>
        <v>42369</v>
      </c>
      <c r="D87" s="165">
        <f>EOMONTH(C87,3)</f>
        <v>42460</v>
      </c>
      <c r="E87" s="165">
        <f t="shared" ref="E87:G87" si="629">EOMONTH(D87,3)</f>
        <v>42551</v>
      </c>
      <c r="F87" s="165">
        <f t="shared" si="629"/>
        <v>42643</v>
      </c>
      <c r="G87" s="165">
        <f t="shared" si="629"/>
        <v>42735</v>
      </c>
      <c r="H87" s="165">
        <f t="shared" ref="H87" si="630">EOMONTH(G87,3)</f>
        <v>42825</v>
      </c>
      <c r="I87" s="165">
        <f t="shared" ref="I87" si="631">EOMONTH(H87,3)</f>
        <v>42916</v>
      </c>
      <c r="J87" s="165">
        <f t="shared" ref="J87" si="632">EOMONTH(I87,3)</f>
        <v>43008</v>
      </c>
      <c r="K87" s="165">
        <f t="shared" ref="K87" si="633">EOMONTH(J87,3)</f>
        <v>43100</v>
      </c>
      <c r="L87" s="165">
        <f t="shared" ref="L87" si="634">EOMONTH(K87,3)</f>
        <v>43190</v>
      </c>
      <c r="M87" s="165">
        <f t="shared" ref="M87" si="635">EOMONTH(L87,3)</f>
        <v>43281</v>
      </c>
      <c r="N87" s="165">
        <f t="shared" ref="N87" si="636">EOMONTH(M87,3)</f>
        <v>43373</v>
      </c>
      <c r="O87" s="165">
        <f t="shared" ref="O87" si="637">EOMONTH(N87,3)</f>
        <v>43465</v>
      </c>
      <c r="P87" s="165">
        <f t="shared" ref="P87" si="638">EOMONTH(O87,3)</f>
        <v>43555</v>
      </c>
      <c r="Q87" s="165">
        <f t="shared" ref="Q87" si="639">EOMONTH(P87,3)</f>
        <v>43646</v>
      </c>
      <c r="R87" s="165">
        <f t="shared" ref="R87" si="640">EOMONTH(Q87,3)</f>
        <v>43738</v>
      </c>
      <c r="S87" s="165">
        <f t="shared" ref="S87" si="641">EOMONTH(R87,3)</f>
        <v>43830</v>
      </c>
      <c r="T87" s="165">
        <f t="shared" ref="T87" si="642">EOMONTH(S87,3)</f>
        <v>43921</v>
      </c>
      <c r="U87" s="165">
        <f t="shared" ref="U87" si="643">EOMONTH(T87,3)</f>
        <v>44012</v>
      </c>
      <c r="V87" s="165">
        <f t="shared" ref="V87" si="644">EOMONTH(U87,3)</f>
        <v>44104</v>
      </c>
      <c r="W87" s="165">
        <f t="shared" ref="W87" si="645">EOMONTH(V87,3)</f>
        <v>44196</v>
      </c>
      <c r="X87" s="165">
        <f t="shared" ref="X87" si="646">EOMONTH(W87,3)</f>
        <v>44286</v>
      </c>
      <c r="Y87" s="165">
        <f t="shared" ref="Y87:AA87" si="647">EOMONTH(X87,3)</f>
        <v>44377</v>
      </c>
      <c r="Z87" s="165">
        <f t="shared" ref="Z87:AB87" si="648">EOMONTH(Y87,3)</f>
        <v>44469</v>
      </c>
      <c r="AA87" s="165">
        <f t="shared" si="647"/>
        <v>44561</v>
      </c>
      <c r="AB87" s="165">
        <f t="shared" si="648"/>
        <v>44651</v>
      </c>
      <c r="AC87" s="165">
        <f t="shared" ref="AC87" si="649">EOMONTH(AB87,3)</f>
        <v>44742</v>
      </c>
      <c r="AD87" s="165">
        <f t="shared" ref="AD87" si="650">EOMONTH(AC87,3)</f>
        <v>44834</v>
      </c>
      <c r="AE87" s="165">
        <f t="shared" ref="AE87" si="651">EOMONTH(AD87,3)</f>
        <v>44926</v>
      </c>
      <c r="AF87" s="165">
        <f t="shared" ref="AF87" si="652">EOMONTH(AE87,3)</f>
        <v>45016</v>
      </c>
      <c r="AG87" s="165">
        <f t="shared" ref="AG87" si="653">EOMONTH(AF87,3)</f>
        <v>45107</v>
      </c>
      <c r="AH87" s="165">
        <f t="shared" ref="AH87" si="654">EOMONTH(AG87,3)</f>
        <v>45199</v>
      </c>
      <c r="AI87" s="165">
        <f t="shared" ref="AI87" si="655">EOMONTH(AH87,3)</f>
        <v>45291</v>
      </c>
      <c r="AJ87" s="165">
        <f t="shared" ref="AJ87" si="656">EOMONTH(AI87,3)</f>
        <v>45382</v>
      </c>
      <c r="AK87" s="165">
        <f t="shared" ref="AK87" si="657">EOMONTH(AJ87,3)</f>
        <v>45473</v>
      </c>
      <c r="AL87" s="165">
        <f t="shared" ref="AL87" si="658">EOMONTH(AK87,3)</f>
        <v>45565</v>
      </c>
      <c r="AM87" s="165">
        <f t="shared" ref="AM87" si="659">EOMONTH(AL87,3)</f>
        <v>45657</v>
      </c>
      <c r="AN87" s="165">
        <f t="shared" ref="AN87" si="660">EOMONTH(AM87,3)</f>
        <v>45747</v>
      </c>
      <c r="AO87" s="165">
        <f t="shared" ref="AO87" si="661">EOMONTH(AN87,3)</f>
        <v>45838</v>
      </c>
      <c r="AP87" s="165">
        <f t="shared" ref="AP87" si="662">EOMONTH(AO87,3)</f>
        <v>45930</v>
      </c>
      <c r="AQ87" s="165">
        <f t="shared" ref="AQ87" si="663">EOMONTH(AP87,3)</f>
        <v>46022</v>
      </c>
      <c r="AR87" s="165">
        <f t="shared" ref="AR87" si="664">EOMONTH(AQ87,3)</f>
        <v>46112</v>
      </c>
      <c r="AS87" s="165">
        <f t="shared" ref="AS87" si="665">EOMONTH(AR87,3)</f>
        <v>46203</v>
      </c>
      <c r="AT87" s="165">
        <f t="shared" ref="AT87" si="666">EOMONTH(AS87,3)</f>
        <v>46295</v>
      </c>
      <c r="AU87" s="165">
        <f t="shared" ref="AU87" si="667">EOMONTH(AT87,3)</f>
        <v>46387</v>
      </c>
      <c r="AV87" s="165">
        <f t="shared" ref="AV87" si="668">EOMONTH(AU87,3)</f>
        <v>46477</v>
      </c>
      <c r="AW87" s="165">
        <f t="shared" ref="AW87" si="669">EOMONTH(AV87,3)</f>
        <v>46568</v>
      </c>
      <c r="AX87" s="165">
        <f t="shared" ref="AX87" si="670">EOMONTH(AW87,3)</f>
        <v>46660</v>
      </c>
      <c r="AY87" s="165">
        <f t="shared" ref="AY87" si="671">EOMONTH(AX87,3)</f>
        <v>46752</v>
      </c>
      <c r="AZ87" s="165">
        <f t="shared" ref="AZ87" si="672">EOMONTH(AY87,3)</f>
        <v>46843</v>
      </c>
      <c r="BA87" s="165">
        <f t="shared" ref="BA87" si="673">EOMONTH(AZ87,3)</f>
        <v>46934</v>
      </c>
      <c r="BB87" s="165">
        <f t="shared" ref="BB87" si="674">EOMONTH(BA87,3)</f>
        <v>47026</v>
      </c>
      <c r="BC87" s="567"/>
      <c r="BD87" s="567"/>
      <c r="BE87" s="567"/>
      <c r="BF87" s="567"/>
      <c r="BG87" s="567"/>
      <c r="BH87" s="567"/>
      <c r="BI87" s="567"/>
      <c r="BJ87" s="567"/>
      <c r="BK87" s="567"/>
      <c r="BL87" s="567"/>
      <c r="BM87" s="567"/>
      <c r="BN87" s="567"/>
      <c r="BO87" s="567"/>
      <c r="BP87" s="567"/>
      <c r="BQ87" s="567"/>
      <c r="BR87" s="567"/>
      <c r="BS87" s="567"/>
      <c r="BT87" s="567"/>
    </row>
    <row r="88" spans="1:72">
      <c r="A88" s="567"/>
      <c r="B88" s="519" t="s">
        <v>289</v>
      </c>
      <c r="C88" s="169">
        <v>87221</v>
      </c>
      <c r="D88" s="169">
        <v>94209</v>
      </c>
      <c r="E88" s="169">
        <v>105617</v>
      </c>
      <c r="F88" s="169">
        <v>113037</v>
      </c>
      <c r="G88" s="169">
        <v>125441</v>
      </c>
      <c r="H88" s="169">
        <v>124592</v>
      </c>
      <c r="I88" s="169">
        <v>143407</v>
      </c>
      <c r="J88" s="169">
        <v>166922</v>
      </c>
      <c r="K88" s="169">
        <v>189593</v>
      </c>
      <c r="L88" s="169">
        <v>206184</v>
      </c>
      <c r="M88" s="169">
        <v>224454</v>
      </c>
      <c r="N88" s="169">
        <v>221601</v>
      </c>
      <c r="O88" s="169">
        <v>224120</v>
      </c>
      <c r="P88" s="169">
        <v>215654</v>
      </c>
      <c r="Q88" s="169">
        <v>215366</v>
      </c>
      <c r="R88" s="169">
        <v>234945</v>
      </c>
      <c r="S88" s="169">
        <v>267705</v>
      </c>
      <c r="T88" s="169">
        <v>304432</v>
      </c>
      <c r="U88" s="169">
        <v>312184</v>
      </c>
      <c r="V88" s="169">
        <v>312184</v>
      </c>
      <c r="W88" s="169">
        <v>408940</v>
      </c>
      <c r="X88" s="169">
        <v>479196</v>
      </c>
      <c r="Y88" s="169">
        <v>561572</v>
      </c>
      <c r="Z88" s="169">
        <v>610293</v>
      </c>
      <c r="AA88" s="569">
        <f>AA113</f>
        <v>581475</v>
      </c>
      <c r="AB88" s="569">
        <f>AB113</f>
        <v>551650</v>
      </c>
      <c r="AC88" s="569">
        <f>AC113</f>
        <v>560967</v>
      </c>
      <c r="AD88" s="569">
        <f>AD113</f>
        <v>538797</v>
      </c>
      <c r="AE88" s="569">
        <f t="shared" ref="AE88:AP88" si="675">AE113</f>
        <v>439968</v>
      </c>
      <c r="AF88" s="569">
        <f t="shared" si="675"/>
        <v>375070</v>
      </c>
      <c r="AG88" s="569">
        <f t="shared" si="675"/>
        <v>287067</v>
      </c>
      <c r="AH88" s="569">
        <f t="shared" si="675"/>
        <v>248835</v>
      </c>
      <c r="AI88" s="569">
        <f t="shared" si="675"/>
        <v>278939</v>
      </c>
      <c r="AJ88" s="569">
        <f t="shared" si="675"/>
        <v>275760</v>
      </c>
      <c r="AK88" s="569">
        <f t="shared" si="675"/>
        <v>308963</v>
      </c>
      <c r="AL88" s="569">
        <f t="shared" si="675"/>
        <v>293917</v>
      </c>
      <c r="AM88" s="569">
        <f t="shared" si="675"/>
        <v>304092</v>
      </c>
      <c r="AN88" s="569">
        <f t="shared" si="675"/>
        <v>288576</v>
      </c>
      <c r="AO88" s="569">
        <f t="shared" ref="AO88" si="676">AO113</f>
        <v>255174</v>
      </c>
      <c r="AP88" s="569">
        <f t="shared" si="675"/>
        <v>188421</v>
      </c>
      <c r="AQ88" s="569">
        <f>AQ113</f>
        <v>155067</v>
      </c>
      <c r="AR88" s="569">
        <v>174383</v>
      </c>
      <c r="AS88" s="569">
        <f t="shared" ref="AS88:BB88" si="677">AS113</f>
        <v>0</v>
      </c>
      <c r="AT88" s="569">
        <f t="shared" si="677"/>
        <v>0</v>
      </c>
      <c r="AU88" s="569">
        <f t="shared" si="677"/>
        <v>0</v>
      </c>
      <c r="AV88" s="569">
        <f t="shared" si="677"/>
        <v>0</v>
      </c>
      <c r="AW88" s="569">
        <f t="shared" si="677"/>
        <v>0</v>
      </c>
      <c r="AX88" s="569">
        <f t="shared" si="677"/>
        <v>0</v>
      </c>
      <c r="AY88" s="569">
        <f t="shared" si="677"/>
        <v>0</v>
      </c>
      <c r="AZ88" s="569">
        <f t="shared" si="677"/>
        <v>0</v>
      </c>
      <c r="BA88" s="569">
        <f t="shared" si="677"/>
        <v>0</v>
      </c>
      <c r="BB88" s="569">
        <f t="shared" si="677"/>
        <v>0</v>
      </c>
      <c r="BC88" s="567"/>
      <c r="BD88" s="567"/>
      <c r="BE88" s="567"/>
      <c r="BF88" s="567"/>
      <c r="BG88" s="567"/>
      <c r="BH88" s="567"/>
      <c r="BI88" s="567"/>
      <c r="BJ88" s="567"/>
      <c r="BK88" s="567"/>
      <c r="BL88" s="567"/>
      <c r="BM88" s="567"/>
      <c r="BN88" s="567"/>
      <c r="BO88" s="567"/>
      <c r="BP88" s="567"/>
      <c r="BQ88" s="567"/>
      <c r="BR88" s="567"/>
      <c r="BS88" s="567"/>
      <c r="BT88" s="567"/>
    </row>
    <row r="89" spans="1:72">
      <c r="A89" s="567"/>
      <c r="B89" s="519" t="s">
        <v>290</v>
      </c>
      <c r="C89" s="169">
        <v>14199</v>
      </c>
      <c r="D89" s="169">
        <v>15186</v>
      </c>
      <c r="E89" s="169">
        <v>16166</v>
      </c>
      <c r="F89" s="169">
        <v>17357</v>
      </c>
      <c r="G89" s="169">
        <v>18457</v>
      </c>
      <c r="H89" s="169">
        <v>19183</v>
      </c>
      <c r="I89" s="169">
        <v>20607</v>
      </c>
      <c r="J89" s="169">
        <v>22586</v>
      </c>
      <c r="K89" s="169">
        <v>24275</v>
      </c>
      <c r="L89" s="169">
        <v>26394</v>
      </c>
      <c r="M89" s="169">
        <v>29153</v>
      </c>
      <c r="N89" s="169">
        <v>33450</v>
      </c>
      <c r="O89" s="169">
        <v>38216</v>
      </c>
      <c r="P89" s="169">
        <v>42440</v>
      </c>
      <c r="Q89" s="169">
        <v>45761</v>
      </c>
      <c r="R89" s="169">
        <v>45538</v>
      </c>
      <c r="S89" s="169">
        <v>45555</v>
      </c>
      <c r="T89" s="169">
        <v>44294</v>
      </c>
      <c r="U89" s="169">
        <v>41448</v>
      </c>
      <c r="V89" s="169">
        <v>41448</v>
      </c>
      <c r="W89" s="169">
        <v>40381</v>
      </c>
      <c r="X89" s="169">
        <v>34861</v>
      </c>
      <c r="Y89" s="169">
        <v>33639</v>
      </c>
      <c r="Z89" s="169">
        <v>30845</v>
      </c>
      <c r="AA89" s="569">
        <f>AA107</f>
        <v>28360</v>
      </c>
      <c r="AB89" s="569">
        <f t="shared" ref="AB89:AE89" si="678">AB107</f>
        <v>27655</v>
      </c>
      <c r="AC89" s="569">
        <f t="shared" si="678"/>
        <v>29053</v>
      </c>
      <c r="AD89" s="569">
        <f t="shared" si="678"/>
        <v>37545</v>
      </c>
      <c r="AE89" s="569">
        <f t="shared" si="678"/>
        <v>49281</v>
      </c>
      <c r="AF89" s="569">
        <f t="shared" ref="AF89:AP89" si="679">AF107</f>
        <v>61423</v>
      </c>
      <c r="AG89" s="569">
        <f t="shared" si="679"/>
        <v>74103</v>
      </c>
      <c r="AH89" s="569">
        <f t="shared" si="679"/>
        <v>66515</v>
      </c>
      <c r="AI89" s="569">
        <f t="shared" si="679"/>
        <v>69371</v>
      </c>
      <c r="AJ89" s="569">
        <f>AJ107</f>
        <v>78629</v>
      </c>
      <c r="AK89" s="569">
        <f t="shared" si="679"/>
        <v>82785</v>
      </c>
      <c r="AL89" s="569">
        <f t="shared" si="679"/>
        <v>106874</v>
      </c>
      <c r="AM89" s="569">
        <f t="shared" si="679"/>
        <v>119009</v>
      </c>
      <c r="AN89" s="569">
        <f t="shared" si="679"/>
        <v>119570</v>
      </c>
      <c r="AO89" s="569">
        <f t="shared" ref="AO89" si="680">AO107</f>
        <v>122387</v>
      </c>
      <c r="AP89" s="569">
        <f t="shared" si="679"/>
        <v>125115</v>
      </c>
      <c r="AQ89" s="569">
        <f t="shared" ref="AQ89:BB89" si="681">AQ107</f>
        <v>126847</v>
      </c>
      <c r="AR89" s="569">
        <v>127101</v>
      </c>
      <c r="AS89" s="569">
        <f t="shared" si="681"/>
        <v>0</v>
      </c>
      <c r="AT89" s="569">
        <f t="shared" si="681"/>
        <v>0</v>
      </c>
      <c r="AU89" s="569">
        <f t="shared" si="681"/>
        <v>0</v>
      </c>
      <c r="AV89" s="569">
        <f t="shared" si="681"/>
        <v>0</v>
      </c>
      <c r="AW89" s="569">
        <f t="shared" si="681"/>
        <v>0</v>
      </c>
      <c r="AX89" s="569">
        <f t="shared" si="681"/>
        <v>0</v>
      </c>
      <c r="AY89" s="569">
        <f t="shared" si="681"/>
        <v>0</v>
      </c>
      <c r="AZ89" s="569">
        <f t="shared" si="681"/>
        <v>0</v>
      </c>
      <c r="BA89" s="569">
        <f t="shared" si="681"/>
        <v>0</v>
      </c>
      <c r="BB89" s="569">
        <f t="shared" si="681"/>
        <v>0</v>
      </c>
      <c r="BC89" s="567"/>
      <c r="BD89" s="567"/>
      <c r="BE89" s="567"/>
      <c r="BF89" s="567"/>
      <c r="BG89" s="567"/>
      <c r="BH89" s="567"/>
      <c r="BI89" s="567"/>
      <c r="BJ89" s="567"/>
      <c r="BK89" s="567"/>
      <c r="BL89" s="567"/>
      <c r="BM89" s="567"/>
      <c r="BN89" s="567"/>
      <c r="BO89" s="567"/>
      <c r="BP89" s="567"/>
      <c r="BQ89" s="567"/>
      <c r="BR89" s="567"/>
      <c r="BS89" s="567"/>
      <c r="BT89" s="567"/>
    </row>
    <row r="90" spans="1:72">
      <c r="A90" s="567"/>
      <c r="B90" s="401" t="s">
        <v>291</v>
      </c>
      <c r="C90" s="546">
        <f t="shared" ref="C90:AE90" si="682">C88/C89</f>
        <v>6.1427565321501518</v>
      </c>
      <c r="D90" s="546">
        <f t="shared" si="682"/>
        <v>6.2036744369814301</v>
      </c>
      <c r="E90" s="546">
        <f t="shared" si="682"/>
        <v>6.5332797228751698</v>
      </c>
      <c r="F90" s="546">
        <f t="shared" si="682"/>
        <v>6.5124733536901536</v>
      </c>
      <c r="G90" s="546">
        <f t="shared" si="682"/>
        <v>6.7963916129381809</v>
      </c>
      <c r="H90" s="546">
        <f t="shared" si="682"/>
        <v>6.4949173747589013</v>
      </c>
      <c r="I90" s="546">
        <f t="shared" si="682"/>
        <v>6.9591400980249434</v>
      </c>
      <c r="J90" s="546">
        <f t="shared" si="682"/>
        <v>7.3905073939608608</v>
      </c>
      <c r="K90" s="546">
        <f t="shared" si="682"/>
        <v>7.8102162718846548</v>
      </c>
      <c r="L90" s="546">
        <f t="shared" si="682"/>
        <v>7.8117754035007954</v>
      </c>
      <c r="M90" s="546">
        <f t="shared" si="682"/>
        <v>7.6991733269303326</v>
      </c>
      <c r="N90" s="546">
        <f t="shared" si="682"/>
        <v>6.624843049327354</v>
      </c>
      <c r="O90" s="546">
        <f t="shared" si="682"/>
        <v>5.8645593468704211</v>
      </c>
      <c r="P90" s="546">
        <f t="shared" si="682"/>
        <v>5.0813854853911407</v>
      </c>
      <c r="Q90" s="546">
        <f t="shared" si="682"/>
        <v>4.7063219772295186</v>
      </c>
      <c r="R90" s="546">
        <f t="shared" si="682"/>
        <v>5.1593174930827006</v>
      </c>
      <c r="S90" s="546">
        <f t="shared" si="682"/>
        <v>5.8765228844254196</v>
      </c>
      <c r="T90" s="546">
        <f t="shared" si="682"/>
        <v>6.8729850544091748</v>
      </c>
      <c r="U90" s="546">
        <f t="shared" si="682"/>
        <v>7.5319436402238953</v>
      </c>
      <c r="V90" s="546">
        <f t="shared" si="682"/>
        <v>7.5319436402238953</v>
      </c>
      <c r="W90" s="546">
        <f t="shared" si="682"/>
        <v>10.127039944528367</v>
      </c>
      <c r="X90" s="546">
        <f t="shared" si="682"/>
        <v>13.745905166231605</v>
      </c>
      <c r="Y90" s="546">
        <f t="shared" si="682"/>
        <v>16.694075329230952</v>
      </c>
      <c r="Z90" s="546">
        <f t="shared" si="682"/>
        <v>19.785799967579834</v>
      </c>
      <c r="AA90" s="546">
        <f t="shared" si="682"/>
        <v>20.503349788434413</v>
      </c>
      <c r="AB90" s="546">
        <f t="shared" si="682"/>
        <v>19.947568251672394</v>
      </c>
      <c r="AC90" s="546">
        <f t="shared" si="682"/>
        <v>19.308401886207964</v>
      </c>
      <c r="AD90" s="546">
        <f t="shared" si="682"/>
        <v>14.350699161006792</v>
      </c>
      <c r="AE90" s="546">
        <f t="shared" si="682"/>
        <v>8.9277409143483286</v>
      </c>
      <c r="AF90" s="546">
        <f t="shared" ref="AF90:AP90" si="683">AF88/AF89</f>
        <v>6.1063445289223903</v>
      </c>
      <c r="AG90" s="546">
        <f t="shared" si="683"/>
        <v>3.8738917452734709</v>
      </c>
      <c r="AH90" s="546">
        <f t="shared" si="683"/>
        <v>3.741035856573705</v>
      </c>
      <c r="AI90" s="546">
        <f t="shared" si="683"/>
        <v>4.0209741822951957</v>
      </c>
      <c r="AJ90" s="546">
        <f t="shared" si="683"/>
        <v>3.5071029772730165</v>
      </c>
      <c r="AK90" s="546">
        <f t="shared" si="683"/>
        <v>3.7321133055505222</v>
      </c>
      <c r="AL90" s="546">
        <f t="shared" si="683"/>
        <v>2.7501263169713868</v>
      </c>
      <c r="AM90" s="546">
        <f t="shared" si="683"/>
        <v>2.5552017074338917</v>
      </c>
      <c r="AN90" s="546">
        <f t="shared" si="683"/>
        <v>2.4134481893451536</v>
      </c>
      <c r="AO90" s="546">
        <f t="shared" si="683"/>
        <v>2.0849763455268944</v>
      </c>
      <c r="AP90" s="546">
        <f t="shared" si="683"/>
        <v>1.5059824961035848</v>
      </c>
      <c r="AQ90" s="546">
        <f t="shared" ref="AQ90:BB90" si="684">AQ88/AQ89</f>
        <v>1.2224727427530804</v>
      </c>
      <c r="AR90" s="546">
        <f t="shared" si="684"/>
        <v>1.3720033674007286</v>
      </c>
      <c r="AS90" s="546" t="e">
        <f t="shared" si="684"/>
        <v>#DIV/0!</v>
      </c>
      <c r="AT90" s="546" t="e">
        <f t="shared" si="684"/>
        <v>#DIV/0!</v>
      </c>
      <c r="AU90" s="546" t="e">
        <f t="shared" si="684"/>
        <v>#DIV/0!</v>
      </c>
      <c r="AV90" s="546" t="e">
        <f t="shared" si="684"/>
        <v>#DIV/0!</v>
      </c>
      <c r="AW90" s="546" t="e">
        <f t="shared" si="684"/>
        <v>#DIV/0!</v>
      </c>
      <c r="AX90" s="546" t="e">
        <f t="shared" si="684"/>
        <v>#DIV/0!</v>
      </c>
      <c r="AY90" s="546" t="e">
        <f t="shared" si="684"/>
        <v>#DIV/0!</v>
      </c>
      <c r="AZ90" s="546" t="e">
        <f t="shared" si="684"/>
        <v>#DIV/0!</v>
      </c>
      <c r="BA90" s="546" t="e">
        <f t="shared" si="684"/>
        <v>#DIV/0!</v>
      </c>
      <c r="BB90" s="546" t="e">
        <f t="shared" si="684"/>
        <v>#DIV/0!</v>
      </c>
      <c r="BC90" s="567"/>
      <c r="BD90" s="567"/>
      <c r="BE90" s="567"/>
      <c r="BF90" s="567"/>
      <c r="BG90" s="567"/>
      <c r="BH90" s="567"/>
      <c r="BI90" s="567"/>
      <c r="BJ90" s="567"/>
      <c r="BK90" s="567"/>
      <c r="BL90" s="567"/>
      <c r="BM90" s="567"/>
      <c r="BN90" s="567"/>
      <c r="BO90" s="567"/>
      <c r="BP90" s="567"/>
      <c r="BQ90" s="567"/>
      <c r="BR90" s="567"/>
      <c r="BS90" s="567"/>
      <c r="BT90" s="567"/>
    </row>
    <row r="91" spans="1:72">
      <c r="A91" s="567"/>
      <c r="B91" s="105" t="s">
        <v>129</v>
      </c>
      <c r="C91" s="547">
        <v>2.5</v>
      </c>
      <c r="D91" s="547">
        <v>2.5</v>
      </c>
      <c r="E91" s="547">
        <v>2.5</v>
      </c>
      <c r="F91" s="547">
        <v>2.5</v>
      </c>
      <c r="G91" s="547">
        <v>2.5</v>
      </c>
      <c r="H91" s="547">
        <v>2.5</v>
      </c>
      <c r="I91" s="547">
        <v>2.5</v>
      </c>
      <c r="J91" s="547">
        <v>2.5</v>
      </c>
      <c r="K91" s="547">
        <v>2.5</v>
      </c>
      <c r="L91" s="547">
        <v>2.5</v>
      </c>
      <c r="M91" s="547">
        <v>2.5</v>
      </c>
      <c r="N91" s="547">
        <v>2.5</v>
      </c>
      <c r="O91" s="547">
        <v>2.5</v>
      </c>
      <c r="P91" s="547">
        <v>2.5</v>
      </c>
      <c r="Q91" s="547">
        <v>2.5</v>
      </c>
      <c r="R91" s="547">
        <v>2.5</v>
      </c>
      <c r="S91" s="547">
        <v>2.5</v>
      </c>
      <c r="T91" s="547">
        <v>2.5</v>
      </c>
      <c r="U91" s="547">
        <v>2.5</v>
      </c>
      <c r="V91" s="547">
        <v>2.5</v>
      </c>
      <c r="W91" s="547">
        <v>2.5</v>
      </c>
      <c r="X91" s="547">
        <v>2.5</v>
      </c>
      <c r="Y91" s="547">
        <v>1.75</v>
      </c>
      <c r="Z91" s="547">
        <v>1.75</v>
      </c>
      <c r="AA91" s="547">
        <v>1.75</v>
      </c>
      <c r="AB91" s="547">
        <v>1.75</v>
      </c>
      <c r="AC91" s="547">
        <f>AB91</f>
        <v>1.75</v>
      </c>
      <c r="AD91" s="547">
        <f>AC91</f>
        <v>1.75</v>
      </c>
      <c r="AE91" s="547">
        <f>AD91</f>
        <v>1.75</v>
      </c>
      <c r="AF91" s="547">
        <f t="shared" ref="AF91:AI91" si="685">AE91</f>
        <v>1.75</v>
      </c>
      <c r="AG91" s="547">
        <f t="shared" si="685"/>
        <v>1.75</v>
      </c>
      <c r="AH91" s="547">
        <f t="shared" si="685"/>
        <v>1.75</v>
      </c>
      <c r="AI91" s="547">
        <f t="shared" si="685"/>
        <v>1.75</v>
      </c>
      <c r="AJ91" s="547">
        <f t="shared" ref="AJ91:AO91" si="686">AI91</f>
        <v>1.75</v>
      </c>
      <c r="AK91" s="547">
        <f t="shared" si="686"/>
        <v>1.75</v>
      </c>
      <c r="AL91" s="547">
        <f t="shared" si="686"/>
        <v>1.75</v>
      </c>
      <c r="AM91" s="547">
        <f t="shared" si="686"/>
        <v>1.75</v>
      </c>
      <c r="AN91" s="547">
        <f t="shared" si="686"/>
        <v>1.75</v>
      </c>
      <c r="AO91" s="547">
        <f t="shared" si="686"/>
        <v>1.75</v>
      </c>
      <c r="AP91" s="171">
        <v>1.1499999999999999</v>
      </c>
      <c r="AQ91" s="171">
        <f>AP91</f>
        <v>1.1499999999999999</v>
      </c>
      <c r="AR91" s="171">
        <f t="shared" ref="AR91:AU91" si="687">AQ91</f>
        <v>1.1499999999999999</v>
      </c>
      <c r="AS91" s="171">
        <f t="shared" si="687"/>
        <v>1.1499999999999999</v>
      </c>
      <c r="AT91" s="171">
        <f t="shared" si="687"/>
        <v>1.1499999999999999</v>
      </c>
      <c r="AU91" s="171">
        <f t="shared" si="687"/>
        <v>1.1499999999999999</v>
      </c>
      <c r="AV91" s="171">
        <v>1.5</v>
      </c>
      <c r="AW91" s="171">
        <f>AV91</f>
        <v>1.5</v>
      </c>
      <c r="AX91" s="171">
        <f t="shared" ref="AX91:BB91" si="688">AW91</f>
        <v>1.5</v>
      </c>
      <c r="AY91" s="171">
        <f t="shared" si="688"/>
        <v>1.5</v>
      </c>
      <c r="AZ91" s="171">
        <f t="shared" si="688"/>
        <v>1.5</v>
      </c>
      <c r="BA91" s="171">
        <f t="shared" si="688"/>
        <v>1.5</v>
      </c>
      <c r="BB91" s="171">
        <f t="shared" si="688"/>
        <v>1.5</v>
      </c>
      <c r="BC91" s="567"/>
      <c r="BD91" s="567"/>
      <c r="BE91" s="567"/>
      <c r="BF91" s="567"/>
      <c r="BG91" s="567"/>
      <c r="BH91" s="567"/>
      <c r="BI91" s="567"/>
      <c r="BJ91" s="567"/>
      <c r="BK91" s="567"/>
      <c r="BL91" s="567"/>
      <c r="BM91" s="567"/>
      <c r="BN91" s="567"/>
      <c r="BO91" s="567"/>
      <c r="BP91" s="567"/>
      <c r="BQ91" s="567"/>
      <c r="BR91" s="567"/>
      <c r="BS91" s="567"/>
      <c r="BT91" s="567"/>
    </row>
    <row r="92" spans="1:72" ht="14.5">
      <c r="A92" s="567"/>
      <c r="B92" s="106" t="s">
        <v>131</v>
      </c>
      <c r="C92" s="569">
        <f t="shared" ref="C92:AC92" si="689">(C91*C88)-C89</f>
        <v>203853.5</v>
      </c>
      <c r="D92" s="569">
        <f t="shared" si="689"/>
        <v>220336.5</v>
      </c>
      <c r="E92" s="569">
        <f t="shared" si="689"/>
        <v>247876.5</v>
      </c>
      <c r="F92" s="569">
        <f t="shared" si="689"/>
        <v>265235.5</v>
      </c>
      <c r="G92" s="569">
        <f t="shared" si="689"/>
        <v>295145.5</v>
      </c>
      <c r="H92" s="569">
        <f t="shared" si="689"/>
        <v>292297</v>
      </c>
      <c r="I92" s="569">
        <f t="shared" si="689"/>
        <v>337910.5</v>
      </c>
      <c r="J92" s="569">
        <f t="shared" si="689"/>
        <v>394719</v>
      </c>
      <c r="K92" s="569">
        <f t="shared" si="689"/>
        <v>449707.5</v>
      </c>
      <c r="L92" s="569">
        <f t="shared" si="689"/>
        <v>489066</v>
      </c>
      <c r="M92" s="569">
        <f t="shared" si="689"/>
        <v>531982</v>
      </c>
      <c r="N92" s="569">
        <f t="shared" si="689"/>
        <v>520552.5</v>
      </c>
      <c r="O92" s="569">
        <f t="shared" si="689"/>
        <v>522084</v>
      </c>
      <c r="P92" s="569">
        <f t="shared" si="689"/>
        <v>496695</v>
      </c>
      <c r="Q92" s="569">
        <f t="shared" si="689"/>
        <v>492654</v>
      </c>
      <c r="R92" s="569">
        <f t="shared" si="689"/>
        <v>541824.5</v>
      </c>
      <c r="S92" s="569">
        <f t="shared" si="689"/>
        <v>623707.5</v>
      </c>
      <c r="T92" s="569">
        <f t="shared" si="689"/>
        <v>716786</v>
      </c>
      <c r="U92" s="569">
        <f t="shared" si="689"/>
        <v>739012</v>
      </c>
      <c r="V92" s="569">
        <f t="shared" si="689"/>
        <v>739012</v>
      </c>
      <c r="W92" s="569">
        <f t="shared" si="689"/>
        <v>981969</v>
      </c>
      <c r="X92" s="569">
        <f t="shared" si="689"/>
        <v>1163129</v>
      </c>
      <c r="Y92" s="569">
        <f t="shared" si="689"/>
        <v>949112</v>
      </c>
      <c r="Z92" s="569">
        <f t="shared" si="689"/>
        <v>1037167.75</v>
      </c>
      <c r="AA92" s="569">
        <f t="shared" si="689"/>
        <v>989221.25</v>
      </c>
      <c r="AB92" s="569">
        <f t="shared" si="689"/>
        <v>937732.5</v>
      </c>
      <c r="AC92" s="569">
        <f t="shared" si="689"/>
        <v>952639.25</v>
      </c>
      <c r="AD92" s="569">
        <f t="shared" ref="AD92:AE92" si="690">(AD91*AD88)-AD89</f>
        <v>905349.75</v>
      </c>
      <c r="AE92" s="569">
        <f t="shared" si="690"/>
        <v>720663</v>
      </c>
      <c r="AF92" s="569">
        <f t="shared" ref="AF92:AP92" si="691">(AF91*AF88)-AF89</f>
        <v>594949.5</v>
      </c>
      <c r="AG92" s="569">
        <f t="shared" si="691"/>
        <v>428264.25</v>
      </c>
      <c r="AH92" s="569">
        <f t="shared" si="691"/>
        <v>368946.25</v>
      </c>
      <c r="AI92" s="569">
        <f t="shared" si="691"/>
        <v>418772.25</v>
      </c>
      <c r="AJ92" s="569">
        <f t="shared" si="691"/>
        <v>403951</v>
      </c>
      <c r="AK92" s="569">
        <f t="shared" si="691"/>
        <v>457900.25</v>
      </c>
      <c r="AL92" s="569">
        <f t="shared" si="691"/>
        <v>407480.75</v>
      </c>
      <c r="AM92" s="569">
        <f t="shared" si="691"/>
        <v>413152</v>
      </c>
      <c r="AN92" s="569">
        <f t="shared" si="691"/>
        <v>385438</v>
      </c>
      <c r="AO92" s="569">
        <f t="shared" si="691"/>
        <v>324167.5</v>
      </c>
      <c r="AP92" s="569">
        <f t="shared" si="691"/>
        <v>91569.15</v>
      </c>
      <c r="AQ92" s="569">
        <f t="shared" ref="AQ92:BB92" si="692">(AQ91*AQ88)-AQ89</f>
        <v>51480.049999999988</v>
      </c>
      <c r="AR92" s="569">
        <f t="shared" si="692"/>
        <v>73439.449999999983</v>
      </c>
      <c r="AS92" s="569">
        <f t="shared" si="692"/>
        <v>0</v>
      </c>
      <c r="AT92" s="569">
        <f t="shared" si="692"/>
        <v>0</v>
      </c>
      <c r="AU92" s="569">
        <f t="shared" si="692"/>
        <v>0</v>
      </c>
      <c r="AV92" s="569">
        <f t="shared" si="692"/>
        <v>0</v>
      </c>
      <c r="AW92" s="569">
        <f t="shared" si="692"/>
        <v>0</v>
      </c>
      <c r="AX92" s="569">
        <f t="shared" si="692"/>
        <v>0</v>
      </c>
      <c r="AY92" s="569">
        <f t="shared" si="692"/>
        <v>0</v>
      </c>
      <c r="AZ92" s="569">
        <f t="shared" si="692"/>
        <v>0</v>
      </c>
      <c r="BA92" s="569">
        <f t="shared" si="692"/>
        <v>0</v>
      </c>
      <c r="BB92" s="569">
        <f t="shared" si="692"/>
        <v>0</v>
      </c>
      <c r="BC92" s="567"/>
      <c r="BD92" s="567"/>
      <c r="BE92" s="567"/>
      <c r="BF92" s="567"/>
      <c r="BG92" s="567"/>
      <c r="BH92" s="567"/>
      <c r="BI92" s="567"/>
      <c r="BJ92" s="567"/>
      <c r="BK92" s="567"/>
      <c r="BL92" s="567"/>
      <c r="BM92" s="567"/>
      <c r="BN92" s="567"/>
      <c r="BO92" s="567"/>
      <c r="BP92" s="567"/>
      <c r="BQ92" s="567"/>
      <c r="BR92" s="567"/>
      <c r="BS92" s="567"/>
      <c r="BT92" s="567"/>
    </row>
    <row r="93" spans="1:72" ht="14.5">
      <c r="A93" s="567"/>
      <c r="B93" s="619" t="s">
        <v>132</v>
      </c>
      <c r="C93" s="469">
        <f t="shared" ref="C93:D93" si="693">C90/C92-1</f>
        <v>-0.99996986680860445</v>
      </c>
      <c r="D93" s="469">
        <f t="shared" si="693"/>
        <v>-0.99997184454488031</v>
      </c>
      <c r="E93" s="469">
        <f t="shared" ref="E93:AC93" si="694">E90/E91-1</f>
        <v>1.6133118891500677</v>
      </c>
      <c r="F93" s="469">
        <f t="shared" si="694"/>
        <v>1.6049893414760614</v>
      </c>
      <c r="G93" s="469">
        <f t="shared" si="694"/>
        <v>1.7185566451752723</v>
      </c>
      <c r="H93" s="469">
        <f t="shared" si="694"/>
        <v>1.5979669499035607</v>
      </c>
      <c r="I93" s="469">
        <f t="shared" si="694"/>
        <v>1.7836560392099772</v>
      </c>
      <c r="J93" s="469">
        <f t="shared" si="694"/>
        <v>1.9562029575843445</v>
      </c>
      <c r="K93" s="469">
        <f t="shared" si="694"/>
        <v>2.1240865087538618</v>
      </c>
      <c r="L93" s="469">
        <f t="shared" si="694"/>
        <v>2.1247101614003183</v>
      </c>
      <c r="M93" s="469">
        <f t="shared" si="694"/>
        <v>2.0796693307721332</v>
      </c>
      <c r="N93" s="469">
        <f t="shared" si="694"/>
        <v>1.6499372197309414</v>
      </c>
      <c r="O93" s="469">
        <f t="shared" si="694"/>
        <v>1.3458237387481686</v>
      </c>
      <c r="P93" s="469">
        <f t="shared" si="694"/>
        <v>1.0325541941564564</v>
      </c>
      <c r="Q93" s="469">
        <f t="shared" si="694"/>
        <v>0.88252879089180736</v>
      </c>
      <c r="R93" s="469">
        <f t="shared" si="694"/>
        <v>1.0637269972330801</v>
      </c>
      <c r="S93" s="469">
        <f t="shared" si="694"/>
        <v>1.3506091537701677</v>
      </c>
      <c r="T93" s="469">
        <f t="shared" si="694"/>
        <v>1.7491940217636701</v>
      </c>
      <c r="U93" s="469">
        <f t="shared" si="694"/>
        <v>2.0127774560895579</v>
      </c>
      <c r="V93" s="469">
        <f t="shared" si="694"/>
        <v>2.0127774560895579</v>
      </c>
      <c r="W93" s="469">
        <f t="shared" si="694"/>
        <v>3.0508159778113466</v>
      </c>
      <c r="X93" s="469">
        <f t="shared" si="694"/>
        <v>4.4983620664926418</v>
      </c>
      <c r="Y93" s="469">
        <f t="shared" si="694"/>
        <v>8.5394716167034002</v>
      </c>
      <c r="Z93" s="469">
        <f t="shared" si="694"/>
        <v>10.30617141004562</v>
      </c>
      <c r="AA93" s="469">
        <f t="shared" si="694"/>
        <v>10.716199879105378</v>
      </c>
      <c r="AB93" s="469">
        <f t="shared" si="694"/>
        <v>10.398610429527082</v>
      </c>
      <c r="AC93" s="469">
        <f t="shared" si="694"/>
        <v>10.03337250640455</v>
      </c>
      <c r="AD93" s="469">
        <f>AD90/AD91-1</f>
        <v>7.20039952057531</v>
      </c>
      <c r="AE93" s="469">
        <f>AE90/AE91-1</f>
        <v>4.1015662367704735</v>
      </c>
      <c r="AF93" s="469">
        <f t="shared" ref="AF93:AP93" si="695">AF90/AF91-1</f>
        <v>2.4893397308127945</v>
      </c>
      <c r="AG93" s="469">
        <f t="shared" si="695"/>
        <v>1.213652425870555</v>
      </c>
      <c r="AH93" s="469">
        <f t="shared" si="695"/>
        <v>1.1377347751849745</v>
      </c>
      <c r="AI93" s="469">
        <f t="shared" si="695"/>
        <v>1.2976995327401117</v>
      </c>
      <c r="AJ93" s="469">
        <f t="shared" si="695"/>
        <v>1.0040588441560092</v>
      </c>
      <c r="AK93" s="469">
        <f t="shared" si="695"/>
        <v>1.1326361746002984</v>
      </c>
      <c r="AL93" s="469">
        <f t="shared" si="695"/>
        <v>0.57150075255507815</v>
      </c>
      <c r="AM93" s="469">
        <f t="shared" si="695"/>
        <v>0.46011526139079528</v>
      </c>
      <c r="AN93" s="469">
        <f t="shared" si="695"/>
        <v>0.37911325105437355</v>
      </c>
      <c r="AO93" s="469">
        <f t="shared" si="695"/>
        <v>0.19141505458679675</v>
      </c>
      <c r="AP93" s="469">
        <f t="shared" si="695"/>
        <v>0.30954999661181293</v>
      </c>
      <c r="AQ93" s="469">
        <f t="shared" ref="AQ93:BB93" si="696">AQ90/AQ91-1</f>
        <v>6.3019776307026598E-2</v>
      </c>
      <c r="AR93" s="469">
        <f t="shared" si="696"/>
        <v>0.19304640643541626</v>
      </c>
      <c r="AS93" s="469" t="e">
        <f t="shared" si="696"/>
        <v>#DIV/0!</v>
      </c>
      <c r="AT93" s="469" t="e">
        <f t="shared" si="696"/>
        <v>#DIV/0!</v>
      </c>
      <c r="AU93" s="469" t="e">
        <f t="shared" si="696"/>
        <v>#DIV/0!</v>
      </c>
      <c r="AV93" s="469" t="e">
        <f t="shared" si="696"/>
        <v>#DIV/0!</v>
      </c>
      <c r="AW93" s="469" t="e">
        <f t="shared" si="696"/>
        <v>#DIV/0!</v>
      </c>
      <c r="AX93" s="469" t="e">
        <f t="shared" si="696"/>
        <v>#DIV/0!</v>
      </c>
      <c r="AY93" s="469" t="e">
        <f t="shared" si="696"/>
        <v>#DIV/0!</v>
      </c>
      <c r="AZ93" s="469" t="e">
        <f t="shared" si="696"/>
        <v>#DIV/0!</v>
      </c>
      <c r="BA93" s="469" t="e">
        <f t="shared" si="696"/>
        <v>#DIV/0!</v>
      </c>
      <c r="BB93" s="469" t="e">
        <f t="shared" si="696"/>
        <v>#DIV/0!</v>
      </c>
      <c r="BC93" s="567"/>
      <c r="BD93" s="567"/>
      <c r="BE93" s="567"/>
      <c r="BF93" s="567"/>
      <c r="BG93" s="567"/>
      <c r="BH93" s="567"/>
      <c r="BI93" s="567"/>
      <c r="BJ93" s="567"/>
      <c r="BK93" s="567"/>
      <c r="BL93" s="567"/>
      <c r="BM93" s="567"/>
      <c r="BN93" s="567"/>
      <c r="BO93" s="567"/>
      <c r="BP93" s="567"/>
      <c r="BQ93" s="567"/>
      <c r="BR93" s="567"/>
      <c r="BS93" s="567"/>
      <c r="BT93" s="567"/>
    </row>
    <row r="94" spans="1:72">
      <c r="A94" s="567"/>
      <c r="B94" s="528" t="s">
        <v>130</v>
      </c>
      <c r="C94" s="526" t="str">
        <f t="shared" ref="C94:K94" si="697">IF(C90&gt;=C91,"Compliant","Violation")</f>
        <v>Compliant</v>
      </c>
      <c r="D94" s="526" t="str">
        <f t="shared" si="697"/>
        <v>Compliant</v>
      </c>
      <c r="E94" s="526" t="str">
        <f t="shared" si="697"/>
        <v>Compliant</v>
      </c>
      <c r="F94" s="526" t="str">
        <f t="shared" si="697"/>
        <v>Compliant</v>
      </c>
      <c r="G94" s="526" t="str">
        <f t="shared" si="697"/>
        <v>Compliant</v>
      </c>
      <c r="H94" s="526" t="str">
        <f t="shared" si="697"/>
        <v>Compliant</v>
      </c>
      <c r="I94" s="526" t="str">
        <f t="shared" si="697"/>
        <v>Compliant</v>
      </c>
      <c r="J94" s="526" t="str">
        <f t="shared" si="697"/>
        <v>Compliant</v>
      </c>
      <c r="K94" s="526" t="str">
        <f t="shared" si="697"/>
        <v>Compliant</v>
      </c>
      <c r="L94" s="526" t="str">
        <f t="shared" ref="L94" si="698">IF(L90&gt;=L91,"Compliant","Violation")</f>
        <v>Compliant</v>
      </c>
      <c r="M94" s="526" t="str">
        <f t="shared" ref="M94:N94" si="699">IF(M90&gt;=M91,"Compliant","Violation")</f>
        <v>Compliant</v>
      </c>
      <c r="N94" s="526" t="str">
        <f t="shared" si="699"/>
        <v>Compliant</v>
      </c>
      <c r="O94" s="526" t="str">
        <f t="shared" ref="O94" si="700">IF(O90&gt;=O91,"Compliant","Violation")</f>
        <v>Compliant</v>
      </c>
      <c r="P94" s="526" t="str">
        <f t="shared" ref="P94:Q94" si="701">IF(P90&gt;=P91,"Compliant","Violation")</f>
        <v>Compliant</v>
      </c>
      <c r="Q94" s="526" t="str">
        <f t="shared" si="701"/>
        <v>Compliant</v>
      </c>
      <c r="R94" s="526" t="str">
        <f t="shared" ref="R94:S94" si="702">IF(R90&gt;=R91,"Compliant","Violation")</f>
        <v>Compliant</v>
      </c>
      <c r="S94" s="526" t="str">
        <f t="shared" si="702"/>
        <v>Compliant</v>
      </c>
      <c r="T94" s="526" t="str">
        <f t="shared" ref="T94:U94" si="703">IF(T90&gt;=T91,"Compliant","Violation")</f>
        <v>Compliant</v>
      </c>
      <c r="U94" s="526" t="str">
        <f t="shared" si="703"/>
        <v>Compliant</v>
      </c>
      <c r="V94" s="526" t="str">
        <f t="shared" ref="V94:W94" si="704">IF(V90&gt;=V91,"Compliant","Violation")</f>
        <v>Compliant</v>
      </c>
      <c r="W94" s="526" t="str">
        <f t="shared" si="704"/>
        <v>Compliant</v>
      </c>
      <c r="X94" s="526" t="str">
        <f t="shared" ref="X94:Y94" si="705">IF(X90&gt;=X91,"Compliant","Violation")</f>
        <v>Compliant</v>
      </c>
      <c r="Y94" s="526" t="str">
        <f t="shared" si="705"/>
        <v>Compliant</v>
      </c>
      <c r="Z94" s="526" t="str">
        <f t="shared" ref="Z94:AA94" si="706">IF(Z90&gt;=Z91,"Compliant","Violation")</f>
        <v>Compliant</v>
      </c>
      <c r="AA94" s="526" t="str">
        <f t="shared" si="706"/>
        <v>Compliant</v>
      </c>
      <c r="AB94" s="526" t="str">
        <f t="shared" ref="AB94:AC94" si="707">IF(AB90&gt;=AB91,"Compliant","Violation")</f>
        <v>Compliant</v>
      </c>
      <c r="AC94" s="526" t="str">
        <f t="shared" si="707"/>
        <v>Compliant</v>
      </c>
      <c r="AD94" s="526" t="str">
        <f t="shared" ref="AD94:AE94" si="708">IF(AD90&gt;=AD91,"Compliant","Violation")</f>
        <v>Compliant</v>
      </c>
      <c r="AE94" s="526" t="str">
        <f t="shared" si="708"/>
        <v>Compliant</v>
      </c>
      <c r="AF94" s="526" t="str">
        <f t="shared" ref="AF94:AP94" si="709">IF(AF90&gt;=AF91,"Compliant","Violation")</f>
        <v>Compliant</v>
      </c>
      <c r="AG94" s="526" t="str">
        <f t="shared" si="709"/>
        <v>Compliant</v>
      </c>
      <c r="AH94" s="526" t="str">
        <f t="shared" si="709"/>
        <v>Compliant</v>
      </c>
      <c r="AI94" s="526" t="str">
        <f t="shared" si="709"/>
        <v>Compliant</v>
      </c>
      <c r="AJ94" s="526" t="str">
        <f t="shared" si="709"/>
        <v>Compliant</v>
      </c>
      <c r="AK94" s="526" t="str">
        <f t="shared" si="709"/>
        <v>Compliant</v>
      </c>
      <c r="AL94" s="526" t="str">
        <f t="shared" si="709"/>
        <v>Compliant</v>
      </c>
      <c r="AM94" s="526" t="str">
        <f t="shared" si="709"/>
        <v>Compliant</v>
      </c>
      <c r="AN94" s="526" t="str">
        <f t="shared" si="709"/>
        <v>Compliant</v>
      </c>
      <c r="AO94" s="526" t="str">
        <f t="shared" si="709"/>
        <v>Compliant</v>
      </c>
      <c r="AP94" s="526" t="str">
        <f t="shared" si="709"/>
        <v>Compliant</v>
      </c>
      <c r="AQ94" s="526" t="str">
        <f t="shared" ref="AQ94:BB94" si="710">IF(AQ90&gt;=AQ91,"Compliant","Violation")</f>
        <v>Compliant</v>
      </c>
      <c r="AR94" s="526" t="str">
        <f t="shared" si="710"/>
        <v>Compliant</v>
      </c>
      <c r="AS94" s="526" t="e">
        <f t="shared" si="710"/>
        <v>#DIV/0!</v>
      </c>
      <c r="AT94" s="526" t="e">
        <f t="shared" si="710"/>
        <v>#DIV/0!</v>
      </c>
      <c r="AU94" s="526" t="e">
        <f t="shared" si="710"/>
        <v>#DIV/0!</v>
      </c>
      <c r="AV94" s="526" t="e">
        <f t="shared" si="710"/>
        <v>#DIV/0!</v>
      </c>
      <c r="AW94" s="526" t="e">
        <f t="shared" si="710"/>
        <v>#DIV/0!</v>
      </c>
      <c r="AX94" s="526" t="e">
        <f t="shared" si="710"/>
        <v>#DIV/0!</v>
      </c>
      <c r="AY94" s="526" t="e">
        <f t="shared" si="710"/>
        <v>#DIV/0!</v>
      </c>
      <c r="AZ94" s="526" t="e">
        <f t="shared" si="710"/>
        <v>#DIV/0!</v>
      </c>
      <c r="BA94" s="526" t="e">
        <f t="shared" si="710"/>
        <v>#DIV/0!</v>
      </c>
      <c r="BB94" s="526" t="e">
        <f t="shared" si="710"/>
        <v>#DIV/0!</v>
      </c>
      <c r="BC94" s="567"/>
      <c r="BD94" s="567"/>
      <c r="BE94" s="567"/>
      <c r="BF94" s="567"/>
      <c r="BG94" s="567"/>
      <c r="BH94" s="567"/>
      <c r="BI94" s="567"/>
      <c r="BJ94" s="567"/>
      <c r="BK94" s="567"/>
      <c r="BL94" s="567"/>
      <c r="BM94" s="567"/>
      <c r="BN94" s="567"/>
      <c r="BO94" s="567"/>
      <c r="BP94" s="567"/>
      <c r="BQ94" s="567"/>
      <c r="BR94" s="567"/>
      <c r="BS94" s="567"/>
      <c r="BT94" s="567"/>
    </row>
    <row r="95" spans="1:72">
      <c r="A95" s="567"/>
      <c r="B95" s="567"/>
      <c r="C95" s="567"/>
      <c r="D95" s="567"/>
      <c r="E95" s="567"/>
      <c r="F95" s="567"/>
      <c r="G95" s="567"/>
      <c r="H95" s="567"/>
      <c r="I95" s="567"/>
      <c r="J95" s="567"/>
      <c r="K95" s="567"/>
      <c r="L95" s="567"/>
      <c r="M95" s="567"/>
      <c r="N95" s="567"/>
      <c r="O95" s="567"/>
      <c r="P95" s="567"/>
      <c r="Q95" s="567"/>
      <c r="R95" s="567"/>
      <c r="S95" s="567"/>
      <c r="T95" s="567"/>
      <c r="U95" s="567"/>
      <c r="V95" s="567"/>
      <c r="W95" s="567"/>
      <c r="X95" s="567"/>
      <c r="Y95" s="567"/>
      <c r="Z95" s="567"/>
      <c r="AA95" s="567"/>
      <c r="AB95" s="567"/>
      <c r="AC95" s="567"/>
      <c r="AD95" s="567"/>
      <c r="AE95" s="567"/>
      <c r="AF95" s="567"/>
      <c r="AG95" s="567"/>
      <c r="AH95" s="567"/>
      <c r="AI95" s="567"/>
      <c r="AJ95" s="567"/>
      <c r="AK95" s="567"/>
      <c r="AL95" s="567"/>
      <c r="AM95" s="567"/>
      <c r="AN95" s="567"/>
      <c r="AO95" s="567"/>
      <c r="AP95" s="567"/>
      <c r="AQ95" s="567"/>
      <c r="AR95" s="567"/>
      <c r="AS95" s="567"/>
      <c r="AT95" s="567"/>
      <c r="AU95" s="567"/>
      <c r="AV95" s="567"/>
      <c r="AW95" s="567"/>
      <c r="AX95" s="567"/>
      <c r="AY95" s="567"/>
      <c r="AZ95" s="567"/>
      <c r="BA95" s="567"/>
      <c r="BB95" s="567"/>
      <c r="BC95" s="567"/>
      <c r="BD95" s="567"/>
      <c r="BE95" s="567"/>
      <c r="BF95" s="567"/>
      <c r="BG95" s="567"/>
      <c r="BH95" s="567"/>
      <c r="BI95" s="567"/>
      <c r="BJ95" s="567"/>
      <c r="BK95" s="567"/>
      <c r="BL95" s="567"/>
      <c r="BM95" s="567"/>
      <c r="BN95" s="567"/>
      <c r="BO95" s="567"/>
      <c r="BP95" s="567"/>
      <c r="BQ95" s="567"/>
      <c r="BR95" s="567"/>
      <c r="BS95" s="567"/>
      <c r="BT95" s="567"/>
    </row>
    <row r="96" spans="1:72">
      <c r="A96" s="567"/>
      <c r="B96" s="567"/>
      <c r="C96" s="567"/>
      <c r="D96" s="567"/>
      <c r="E96" s="567"/>
      <c r="F96" s="567"/>
      <c r="G96" s="567"/>
      <c r="H96" s="567"/>
      <c r="I96" s="567"/>
      <c r="J96" s="567"/>
      <c r="K96" s="567"/>
      <c r="L96" s="567"/>
      <c r="M96" s="567"/>
      <c r="N96" s="567"/>
      <c r="O96" s="567"/>
      <c r="P96" s="567"/>
      <c r="Q96" s="567"/>
      <c r="R96" s="567"/>
      <c r="S96" s="567"/>
      <c r="T96" s="567"/>
      <c r="U96" s="567"/>
      <c r="V96" s="567"/>
      <c r="W96" s="567"/>
      <c r="X96" s="567"/>
      <c r="Y96" s="567"/>
      <c r="Z96" s="567"/>
      <c r="AA96" s="567"/>
      <c r="AB96" s="567"/>
      <c r="AC96" s="567"/>
      <c r="AD96" s="567"/>
      <c r="AE96" s="567"/>
      <c r="AF96" s="567"/>
      <c r="AG96" s="567"/>
      <c r="AH96" s="567"/>
      <c r="AI96" s="567"/>
      <c r="AJ96" s="567"/>
      <c r="AK96" s="567"/>
      <c r="AL96" s="567"/>
      <c r="AM96" s="567"/>
      <c r="AN96" s="567"/>
      <c r="AO96" s="567"/>
      <c r="AP96" s="567"/>
      <c r="AQ96" s="567"/>
      <c r="AR96" s="567"/>
      <c r="AS96" s="567"/>
      <c r="AT96" s="567"/>
      <c r="AU96" s="567"/>
      <c r="AV96" s="567"/>
      <c r="AW96" s="567"/>
      <c r="AX96" s="567"/>
      <c r="AY96" s="567"/>
      <c r="AZ96" s="567"/>
      <c r="BA96" s="567"/>
      <c r="BB96" s="567"/>
      <c r="BC96" s="567"/>
      <c r="BD96" s="567"/>
      <c r="BE96" s="567"/>
      <c r="BF96" s="567"/>
      <c r="BG96" s="567"/>
      <c r="BH96" s="567"/>
      <c r="BI96" s="567"/>
      <c r="BJ96" s="567"/>
      <c r="BK96" s="567"/>
      <c r="BL96" s="567"/>
      <c r="BM96" s="567"/>
      <c r="BN96" s="567"/>
      <c r="BO96" s="567"/>
      <c r="BP96" s="567"/>
      <c r="BQ96" s="567"/>
      <c r="BR96" s="567"/>
      <c r="BS96" s="567"/>
      <c r="BT96" s="567"/>
    </row>
    <row r="97" spans="1:72">
      <c r="A97" s="567"/>
      <c r="B97" s="568" t="s">
        <v>292</v>
      </c>
      <c r="C97" s="567"/>
      <c r="D97" s="567"/>
      <c r="E97" s="567"/>
      <c r="F97" s="567"/>
      <c r="G97" s="567"/>
      <c r="H97" s="567"/>
      <c r="I97" s="567"/>
      <c r="J97" s="567"/>
      <c r="K97" s="567"/>
      <c r="L97" s="567"/>
      <c r="M97" s="567"/>
      <c r="N97" s="567"/>
      <c r="O97" s="567"/>
      <c r="P97" s="567"/>
      <c r="Q97" s="567"/>
      <c r="R97" s="567"/>
      <c r="S97" s="567"/>
      <c r="T97" s="567"/>
      <c r="U97" s="567"/>
      <c r="V97" s="567"/>
      <c r="W97" s="567"/>
      <c r="X97" s="570">
        <v>7732</v>
      </c>
      <c r="Y97" s="570">
        <v>8040</v>
      </c>
      <c r="Z97" s="570">
        <v>6091</v>
      </c>
      <c r="AA97" s="570">
        <f>28360-SUM(X97:Z97)</f>
        <v>6497</v>
      </c>
      <c r="AB97" s="570">
        <v>7027</v>
      </c>
      <c r="AC97" s="570">
        <v>9438</v>
      </c>
      <c r="AD97" s="570">
        <v>14583</v>
      </c>
      <c r="AE97" s="570">
        <f>49281-SUM(AB97:AD97)</f>
        <v>18233</v>
      </c>
      <c r="AF97" s="570">
        <f>61423-SUM(AC97:AE97)</f>
        <v>19169</v>
      </c>
      <c r="AG97" s="570">
        <f>74103-(SUM(AD97:AF97))</f>
        <v>22118</v>
      </c>
      <c r="AH97" s="570">
        <f>81098-SUM(AD97:AG97)</f>
        <v>6995</v>
      </c>
      <c r="AI97" s="570">
        <f>87604-SUM(AE97:AH97)</f>
        <v>21089</v>
      </c>
      <c r="AJ97" s="570">
        <f>97798-SUM(AF97:AI97)</f>
        <v>28427</v>
      </c>
      <c r="AK97" s="570">
        <f>104903-SUM(AG97:AJ97)</f>
        <v>26274</v>
      </c>
      <c r="AL97" s="570">
        <f>113869-SUM(AH97:AK97)</f>
        <v>31084</v>
      </c>
      <c r="AM97" s="570">
        <f>119009-SUM(AI97:AL97)</f>
        <v>12135</v>
      </c>
      <c r="AN97" s="570">
        <f>119570-SUM(AJ97:AM97)</f>
        <v>21650</v>
      </c>
      <c r="AO97" s="570">
        <f>122387-SUM(AK97:AN97)</f>
        <v>31244</v>
      </c>
      <c r="AP97" s="570">
        <v>95236</v>
      </c>
      <c r="AQ97" s="570"/>
      <c r="AR97" s="570"/>
      <c r="AS97" s="570"/>
      <c r="AT97" s="570"/>
      <c r="AU97" s="570"/>
      <c r="AV97" s="570"/>
      <c r="AW97" s="570"/>
      <c r="AX97" s="570"/>
      <c r="AY97" s="570"/>
      <c r="AZ97" s="570"/>
      <c r="BA97" s="570"/>
      <c r="BB97" s="570"/>
      <c r="BC97" s="567"/>
      <c r="BD97" s="567"/>
      <c r="BE97" s="567"/>
      <c r="BF97" s="567"/>
      <c r="BG97" s="567"/>
      <c r="BH97" s="567"/>
      <c r="BI97" s="567"/>
      <c r="BJ97" s="567"/>
      <c r="BK97" s="567"/>
      <c r="BL97" s="567"/>
      <c r="BM97" s="567"/>
      <c r="BN97" s="567"/>
      <c r="BO97" s="567"/>
      <c r="BP97" s="567"/>
      <c r="BQ97" s="567"/>
      <c r="BR97" s="567"/>
      <c r="BS97" s="567"/>
      <c r="BT97" s="567"/>
    </row>
    <row r="98" spans="1:72">
      <c r="A98" s="567"/>
      <c r="B98" s="568"/>
      <c r="C98" s="567"/>
      <c r="D98" s="567"/>
      <c r="E98" s="567"/>
      <c r="F98" s="567"/>
      <c r="G98" s="567"/>
      <c r="H98" s="567"/>
      <c r="I98" s="567"/>
      <c r="J98" s="567"/>
      <c r="K98" s="567"/>
      <c r="L98" s="567"/>
      <c r="M98" s="567"/>
      <c r="N98" s="567"/>
      <c r="O98" s="567"/>
      <c r="P98" s="567"/>
      <c r="Q98" s="567"/>
      <c r="R98" s="567"/>
      <c r="S98" s="567"/>
      <c r="T98" s="567"/>
      <c r="U98" s="567"/>
      <c r="V98" s="567"/>
      <c r="W98" s="567"/>
      <c r="X98" s="571"/>
      <c r="Y98" s="571"/>
      <c r="Z98" s="571"/>
      <c r="AA98" s="571"/>
      <c r="AB98" s="571"/>
      <c r="AC98" s="571"/>
      <c r="AD98" s="567"/>
      <c r="AE98" s="567"/>
      <c r="AF98" s="567"/>
      <c r="AG98" s="567"/>
      <c r="AH98" s="567"/>
      <c r="AI98" s="567"/>
      <c r="AJ98" s="567"/>
      <c r="AK98" s="567"/>
      <c r="AL98" s="567"/>
      <c r="AM98" s="567"/>
      <c r="AN98" s="567"/>
      <c r="AO98" s="567"/>
      <c r="AP98" s="567"/>
      <c r="AQ98" s="567"/>
      <c r="AR98" s="567"/>
      <c r="AS98" s="567"/>
      <c r="AT98" s="567"/>
      <c r="AU98" s="567"/>
      <c r="AV98" s="567"/>
      <c r="AW98" s="567"/>
      <c r="AX98" s="567"/>
      <c r="AY98" s="567"/>
      <c r="AZ98" s="567"/>
      <c r="BA98" s="567"/>
      <c r="BB98" s="567"/>
      <c r="BC98" s="567"/>
      <c r="BD98" s="567"/>
      <c r="BE98" s="567"/>
      <c r="BF98" s="567"/>
      <c r="BG98" s="567"/>
      <c r="BH98" s="567"/>
      <c r="BI98" s="567"/>
      <c r="BJ98" s="567"/>
      <c r="BK98" s="567"/>
      <c r="BL98" s="567"/>
      <c r="BM98" s="567"/>
      <c r="BN98" s="567"/>
      <c r="BO98" s="567"/>
      <c r="BP98" s="567"/>
      <c r="BQ98" s="567"/>
      <c r="BR98" s="567"/>
      <c r="BS98" s="567"/>
      <c r="BT98" s="567"/>
    </row>
    <row r="99" spans="1:72">
      <c r="A99" s="567"/>
      <c r="B99" s="567" t="s">
        <v>293</v>
      </c>
      <c r="C99" s="567"/>
      <c r="D99" s="567"/>
      <c r="E99" s="567"/>
      <c r="F99" s="567"/>
      <c r="G99" s="567"/>
      <c r="H99" s="567"/>
      <c r="I99" s="567"/>
      <c r="J99" s="567"/>
      <c r="K99" s="567"/>
      <c r="L99" s="567"/>
      <c r="M99" s="567"/>
      <c r="N99" s="567"/>
      <c r="O99" s="567"/>
      <c r="P99" s="567"/>
      <c r="Q99" s="567"/>
      <c r="R99" s="567"/>
      <c r="S99" s="567"/>
      <c r="T99" s="567"/>
      <c r="U99" s="569"/>
      <c r="V99" s="569"/>
      <c r="W99" s="569"/>
      <c r="X99" s="569">
        <f>'Income Stmt'!W19</f>
        <v>99658</v>
      </c>
      <c r="Y99" s="569">
        <f>'Income Stmt'!X19</f>
        <v>217792</v>
      </c>
      <c r="Z99" s="569">
        <f>'Income Stmt'!Y19</f>
        <v>318342</v>
      </c>
      <c r="AA99" s="569">
        <f>'Income Stmt'!Z19</f>
        <v>429645</v>
      </c>
      <c r="AB99" s="569">
        <f>'Income Stmt'!AA28</f>
        <v>408673</v>
      </c>
      <c r="AC99" s="569">
        <f>'Income Stmt'!AB28</f>
        <v>413915</v>
      </c>
      <c r="AD99" s="569">
        <f>'Income Stmt'!AC28</f>
        <v>403755</v>
      </c>
      <c r="AE99" s="569">
        <f>'Income Stmt'!AD19</f>
        <v>326567</v>
      </c>
      <c r="AF99" s="569">
        <f>'Income Stmt'!AE19</f>
        <v>26962</v>
      </c>
      <c r="AG99" s="569">
        <f>'Income Stmt'!AF19</f>
        <v>80096</v>
      </c>
      <c r="AH99" s="569">
        <f>'Income Stmt'!AG19</f>
        <v>147138</v>
      </c>
      <c r="AI99" s="569">
        <f>'Income Stmt'!AH19</f>
        <v>199227</v>
      </c>
      <c r="AJ99" s="569">
        <f>'Income Stmt'!AI19</f>
        <v>17053</v>
      </c>
      <c r="AK99" s="569">
        <f>'Income Stmt'!AJ19</f>
        <v>117030</v>
      </c>
      <c r="AL99" s="569">
        <f>'Income Stmt'!AK19</f>
        <v>145201</v>
      </c>
      <c r="AM99" s="569">
        <f>'Income Stmt'!AL19</f>
        <v>196071</v>
      </c>
      <c r="AN99" s="569">
        <f>'Income Stmt'!AM19</f>
        <v>5724</v>
      </c>
      <c r="AO99" s="569">
        <f>'Income Stmt'!AN19</f>
        <v>47764</v>
      </c>
      <c r="AP99" s="569">
        <f>'Income Stmt'!AO19</f>
        <v>74465</v>
      </c>
      <c r="AQ99" s="569">
        <f>'Income Stmt'!AP19</f>
        <v>98486</v>
      </c>
      <c r="AR99" s="569">
        <f>'Income Stmt'!AQ28</f>
        <v>97081</v>
      </c>
      <c r="AS99" s="569">
        <f>'Income Stmt'!AR19</f>
        <v>4319</v>
      </c>
      <c r="AT99" s="569">
        <f>'Income Stmt'!AS19</f>
        <v>4319</v>
      </c>
      <c r="AU99" s="569">
        <f>'Income Stmt'!AT19</f>
        <v>0</v>
      </c>
      <c r="AV99" s="569">
        <f>'Income Stmt'!AU19</f>
        <v>0</v>
      </c>
      <c r="AW99" s="569">
        <f>'Income Stmt'!AV19</f>
        <v>0</v>
      </c>
      <c r="AX99" s="569">
        <f>'Income Stmt'!AW19</f>
        <v>0</v>
      </c>
      <c r="AY99" s="569">
        <f>'Income Stmt'!AX19</f>
        <v>0</v>
      </c>
      <c r="AZ99" s="569">
        <f>'Income Stmt'!AY19</f>
        <v>0</v>
      </c>
      <c r="BA99" s="569">
        <f>'Income Stmt'!AZ19</f>
        <v>0</v>
      </c>
      <c r="BB99" s="569">
        <f>'Income Stmt'!BA19</f>
        <v>0</v>
      </c>
      <c r="BC99" s="569">
        <f>'Income Stmt'!BB19</f>
        <v>0</v>
      </c>
      <c r="BD99" s="569">
        <f>'Income Stmt'!BC19</f>
        <v>0</v>
      </c>
      <c r="BE99" s="569">
        <f>'Income Stmt'!BD19</f>
        <v>0</v>
      </c>
      <c r="BF99" s="569">
        <f>'Income Stmt'!BE19</f>
        <v>0</v>
      </c>
      <c r="BG99" s="569">
        <f>'Income Stmt'!BF19</f>
        <v>0</v>
      </c>
      <c r="BH99" s="567"/>
      <c r="BI99" s="567"/>
      <c r="BJ99" s="567"/>
      <c r="BK99" s="567"/>
      <c r="BL99" s="567"/>
      <c r="BM99" s="567"/>
      <c r="BN99" s="567"/>
      <c r="BO99" s="567"/>
      <c r="BP99" s="567"/>
      <c r="BQ99" s="567"/>
      <c r="BR99" s="567"/>
      <c r="BS99" s="567"/>
      <c r="BT99" s="567"/>
    </row>
    <row r="100" spans="1:72">
      <c r="A100" s="567"/>
      <c r="B100" s="567" t="s">
        <v>294</v>
      </c>
      <c r="C100" s="567"/>
      <c r="D100" s="567"/>
      <c r="E100" s="567"/>
      <c r="F100" s="567"/>
      <c r="G100" s="567"/>
      <c r="H100" s="567"/>
      <c r="I100" s="567"/>
      <c r="J100" s="567"/>
      <c r="K100" s="567"/>
      <c r="L100" s="567"/>
      <c r="M100" s="567"/>
      <c r="N100" s="567"/>
      <c r="O100" s="567"/>
      <c r="P100" s="567"/>
      <c r="Q100" s="567"/>
      <c r="R100" s="567"/>
      <c r="S100" s="567"/>
      <c r="T100" s="567"/>
      <c r="U100" s="169"/>
      <c r="V100" s="169"/>
      <c r="W100" s="169"/>
      <c r="X100" s="169">
        <v>288</v>
      </c>
      <c r="Y100" s="169">
        <f>537-X100</f>
        <v>249</v>
      </c>
      <c r="Z100" s="169">
        <f>832-SUM(X100:Y100)</f>
        <v>295</v>
      </c>
      <c r="AA100" s="169">
        <f>1154-SUM(X100:Z100)</f>
        <v>322</v>
      </c>
      <c r="AB100" s="169">
        <v>348</v>
      </c>
      <c r="AC100" s="169">
        <f>730-AB100</f>
        <v>382</v>
      </c>
      <c r="AD100" s="169">
        <f>1134-AC100-AB100</f>
        <v>404</v>
      </c>
      <c r="AE100" s="169">
        <f>1576-SUM(AB100:AD100)</f>
        <v>442</v>
      </c>
      <c r="AF100" s="169">
        <f>1636-SUM(AC100:AE100)</f>
        <v>408</v>
      </c>
      <c r="AG100" s="169">
        <f>1833-SUM(AD100:AF100)</f>
        <v>579</v>
      </c>
      <c r="AH100" s="169">
        <f>2222-SUM(AD100:AG100)</f>
        <v>389</v>
      </c>
      <c r="AI100" s="169">
        <f>2408-SUM(AE100:AH100)</f>
        <v>590</v>
      </c>
      <c r="AJ100" s="169">
        <f>2599-SUM(AF100:AI100)</f>
        <v>633</v>
      </c>
      <c r="AK100" s="169">
        <f>2871-SUM(AG100:AJ100)</f>
        <v>680</v>
      </c>
      <c r="AL100" s="169">
        <f>2908-SUM(AH100:AK100)</f>
        <v>616</v>
      </c>
      <c r="AM100" s="647"/>
      <c r="AN100" s="169"/>
      <c r="AO100" s="169"/>
      <c r="AP100" s="169"/>
      <c r="AQ100" s="169"/>
      <c r="AR100" s="169">
        <v>4650</v>
      </c>
      <c r="AS100" s="169"/>
      <c r="AT100" s="169"/>
      <c r="AU100" s="169"/>
      <c r="AV100" s="169"/>
      <c r="AW100" s="169"/>
      <c r="AX100" s="169"/>
      <c r="AY100" s="169"/>
      <c r="AZ100" s="169"/>
      <c r="BA100" s="169"/>
      <c r="BB100" s="169"/>
      <c r="BC100" s="567"/>
      <c r="BD100" s="567"/>
      <c r="BE100" s="567"/>
      <c r="BF100" s="567"/>
      <c r="BG100" s="567"/>
      <c r="BH100" s="567"/>
      <c r="BI100" s="567"/>
      <c r="BJ100" s="567"/>
      <c r="BK100" s="567"/>
      <c r="BL100" s="567"/>
      <c r="BM100" s="567"/>
      <c r="BN100" s="567"/>
      <c r="BO100" s="567"/>
      <c r="BP100" s="567"/>
      <c r="BQ100" s="567"/>
      <c r="BR100" s="567"/>
      <c r="BS100" s="567"/>
      <c r="BT100" s="567"/>
    </row>
    <row r="101" spans="1:72">
      <c r="A101" s="567"/>
      <c r="B101" s="567" t="s">
        <v>290</v>
      </c>
      <c r="C101" s="567"/>
      <c r="D101" s="567"/>
      <c r="E101" s="567"/>
      <c r="F101" s="567"/>
      <c r="G101" s="567"/>
      <c r="H101" s="567"/>
      <c r="I101" s="567"/>
      <c r="J101" s="567"/>
      <c r="K101" s="567"/>
      <c r="L101" s="567"/>
      <c r="M101" s="567"/>
      <c r="N101" s="567"/>
      <c r="O101" s="567"/>
      <c r="P101" s="567"/>
      <c r="Q101" s="567"/>
      <c r="R101" s="567"/>
      <c r="S101" s="567"/>
      <c r="T101" s="567"/>
      <c r="U101" s="519"/>
      <c r="V101" s="519"/>
      <c r="W101" s="519"/>
      <c r="X101" s="570">
        <v>10672</v>
      </c>
      <c r="Y101" s="570">
        <v>10442</v>
      </c>
      <c r="Z101" s="570">
        <v>8603</v>
      </c>
      <c r="AA101" s="570">
        <v>7829</v>
      </c>
      <c r="AB101" s="570">
        <v>4513</v>
      </c>
      <c r="AC101" s="570">
        <v>5735</v>
      </c>
      <c r="AD101" s="570">
        <v>4617</v>
      </c>
      <c r="AE101" s="570">
        <f>20276-SUM(AB101:AD101)</f>
        <v>5411</v>
      </c>
      <c r="AF101" s="570">
        <f>22520-SUM(AC101:AE101)</f>
        <v>6757</v>
      </c>
      <c r="AG101" s="570">
        <f>25923-SUM(AD101:AF101)</f>
        <v>9138</v>
      </c>
      <c r="AH101" s="570">
        <f>29886-SUM(AD101:AG101)</f>
        <v>3963</v>
      </c>
      <c r="AI101" s="570">
        <f>33368-SUM(AE101:AH101)</f>
        <v>8099</v>
      </c>
      <c r="AJ101" s="570">
        <f>33212-SUM(AF101:AI101)</f>
        <v>5255</v>
      </c>
      <c r="AK101" s="570">
        <f>34706-SUM(AG101:AJ101)</f>
        <v>8251</v>
      </c>
      <c r="AL101" s="570">
        <f>39080-SUM(AH101:AK101)</f>
        <v>13512</v>
      </c>
      <c r="AM101" s="570">
        <f>42071-SUM(AI101:AL101)</f>
        <v>6954</v>
      </c>
      <c r="AN101" s="570">
        <f>43737-SUM(AJ101:AM101)</f>
        <v>9765</v>
      </c>
      <c r="AO101" s="570">
        <f>44941-SUM(AK101:AN101)</f>
        <v>6459</v>
      </c>
      <c r="AP101" s="570">
        <v>42991</v>
      </c>
      <c r="AQ101" s="570"/>
      <c r="AR101" s="570"/>
      <c r="AS101" s="570"/>
      <c r="AT101" s="570"/>
      <c r="AU101" s="570"/>
      <c r="AV101" s="570"/>
      <c r="AW101" s="570"/>
      <c r="AX101" s="570"/>
      <c r="AY101" s="570"/>
      <c r="AZ101" s="570"/>
      <c r="BA101" s="570"/>
      <c r="BB101" s="570"/>
      <c r="BC101" s="567"/>
      <c r="BD101" s="567"/>
      <c r="BE101" s="567"/>
      <c r="BF101" s="567"/>
      <c r="BG101" s="567"/>
      <c r="BH101" s="567"/>
      <c r="BI101" s="567"/>
      <c r="BJ101" s="567"/>
      <c r="BK101" s="567"/>
      <c r="BL101" s="567"/>
      <c r="BM101" s="567"/>
      <c r="BN101" s="567"/>
      <c r="BO101" s="567"/>
      <c r="BP101" s="567"/>
      <c r="BQ101" s="567"/>
      <c r="BR101" s="567"/>
      <c r="BS101" s="567"/>
      <c r="BT101" s="567"/>
    </row>
    <row r="102" spans="1:72">
      <c r="A102" s="567"/>
      <c r="B102" s="568" t="s">
        <v>295</v>
      </c>
      <c r="C102" s="567"/>
      <c r="D102" s="567"/>
      <c r="E102" s="567"/>
      <c r="F102" s="567"/>
      <c r="G102" s="567"/>
      <c r="H102" s="567"/>
      <c r="I102" s="567"/>
      <c r="J102" s="567"/>
      <c r="K102" s="567"/>
      <c r="L102" s="567"/>
      <c r="M102" s="567"/>
      <c r="N102" s="567"/>
      <c r="O102" s="567"/>
      <c r="P102" s="567"/>
      <c r="Q102" s="567"/>
      <c r="R102" s="567"/>
      <c r="S102" s="567"/>
      <c r="T102" s="567"/>
      <c r="U102" s="519"/>
      <c r="V102" s="519"/>
      <c r="W102" s="519"/>
      <c r="X102" s="570">
        <v>23618</v>
      </c>
      <c r="Y102" s="570">
        <v>30987</v>
      </c>
      <c r="Z102" s="570">
        <v>26444</v>
      </c>
      <c r="AA102" s="570">
        <f>113130-SUM(X102:Z102)</f>
        <v>32081</v>
      </c>
      <c r="AB102" s="570">
        <v>20864</v>
      </c>
      <c r="AC102" s="570">
        <v>39636</v>
      </c>
      <c r="AD102" s="570">
        <v>18311</v>
      </c>
      <c r="AE102" s="570">
        <f>91549-(SUM(AB102:AD102))</f>
        <v>12738</v>
      </c>
      <c r="AF102" s="570">
        <f>76071-(SUM(AC102:AE102))</f>
        <v>5386</v>
      </c>
      <c r="AG102" s="570">
        <f>54710-SUM(AD102:AF102)</f>
        <v>18275</v>
      </c>
      <c r="AH102" s="570">
        <f>58806-SUM(AD102:AG102)</f>
        <v>4096</v>
      </c>
      <c r="AI102" s="570">
        <f>62527-SUM(AE102:AH102)</f>
        <v>22032</v>
      </c>
      <c r="AJ102" s="570">
        <f>63182-SUM(AF102:AI102)</f>
        <v>13393</v>
      </c>
      <c r="AK102" s="570">
        <f>63217-SUM(AG102:AJ102)</f>
        <v>5421</v>
      </c>
      <c r="AL102" s="570">
        <f>63087-SUM(AH102:AK102)</f>
        <v>18145</v>
      </c>
      <c r="AM102" s="570">
        <f>62842-SUM(AI102:AL102)</f>
        <v>3851</v>
      </c>
      <c r="AN102" s="570">
        <f>58531-SUM(AJ102:AM102)</f>
        <v>17721</v>
      </c>
      <c r="AO102" s="570">
        <f>50718-SUM(AK102:AN102)</f>
        <v>5580</v>
      </c>
      <c r="AP102" s="570">
        <v>35448</v>
      </c>
      <c r="AQ102" s="570"/>
      <c r="AR102" s="570"/>
      <c r="AS102" s="570"/>
      <c r="AT102" s="570"/>
      <c r="AU102" s="570"/>
      <c r="AV102" s="570"/>
      <c r="AW102" s="570"/>
      <c r="AX102" s="570"/>
      <c r="AY102" s="570"/>
      <c r="AZ102" s="570"/>
      <c r="BA102" s="570"/>
      <c r="BB102" s="570"/>
      <c r="BC102" s="567"/>
      <c r="BD102" s="567"/>
      <c r="BE102" s="567"/>
      <c r="BF102" s="567"/>
      <c r="BG102" s="567"/>
      <c r="BH102" s="567"/>
      <c r="BI102" s="567"/>
      <c r="BJ102" s="567"/>
      <c r="BK102" s="567"/>
      <c r="BL102" s="567"/>
      <c r="BM102" s="567"/>
      <c r="BN102" s="567"/>
      <c r="BO102" s="567"/>
      <c r="BP102" s="567"/>
      <c r="BQ102" s="567"/>
      <c r="BR102" s="567"/>
      <c r="BS102" s="567"/>
      <c r="BT102" s="567"/>
    </row>
    <row r="103" spans="1:72">
      <c r="A103" s="567"/>
      <c r="B103" s="567"/>
      <c r="C103" s="567"/>
      <c r="D103" s="567"/>
      <c r="E103" s="567"/>
      <c r="F103" s="567"/>
      <c r="G103" s="567"/>
      <c r="H103" s="567"/>
      <c r="I103" s="567"/>
      <c r="J103" s="567"/>
      <c r="K103" s="567"/>
      <c r="L103" s="567"/>
      <c r="M103" s="567"/>
      <c r="N103" s="567"/>
      <c r="O103" s="567"/>
      <c r="P103" s="567"/>
      <c r="Q103" s="567"/>
      <c r="R103" s="567"/>
      <c r="S103" s="567"/>
      <c r="T103" s="567"/>
      <c r="U103" s="519"/>
      <c r="V103" s="519"/>
      <c r="W103" s="519"/>
      <c r="X103" s="519"/>
      <c r="Y103" s="519"/>
      <c r="Z103" s="519"/>
      <c r="AA103" s="519"/>
      <c r="AB103" s="519"/>
      <c r="AC103" s="519"/>
      <c r="AD103" s="519"/>
      <c r="AE103" s="519"/>
      <c r="AF103" s="519"/>
      <c r="AG103" s="519"/>
      <c r="AH103" s="519"/>
      <c r="AI103" s="519"/>
      <c r="AJ103" s="519"/>
      <c r="AK103" s="519"/>
      <c r="AL103" s="519"/>
      <c r="AM103" s="519"/>
      <c r="AN103" s="519"/>
      <c r="AO103" s="519"/>
      <c r="AP103" s="519"/>
      <c r="AQ103" s="519"/>
      <c r="AR103" s="519"/>
      <c r="AS103" s="519"/>
      <c r="AT103" s="519"/>
      <c r="AU103" s="519"/>
      <c r="AV103" s="519"/>
      <c r="AW103" s="519"/>
      <c r="AX103" s="519"/>
      <c r="AY103" s="519"/>
      <c r="AZ103" s="519"/>
      <c r="BA103" s="519"/>
      <c r="BB103" s="519"/>
      <c r="BC103" s="567"/>
      <c r="BD103" s="567"/>
      <c r="BE103" s="567"/>
      <c r="BF103" s="567"/>
      <c r="BG103" s="567"/>
      <c r="BH103" s="567"/>
      <c r="BI103" s="567"/>
      <c r="BJ103" s="567"/>
      <c r="BK103" s="567"/>
      <c r="BL103" s="567"/>
      <c r="BM103" s="567"/>
      <c r="BN103" s="567"/>
      <c r="BO103" s="567"/>
      <c r="BP103" s="567"/>
      <c r="BQ103" s="567"/>
      <c r="BR103" s="567"/>
      <c r="BS103" s="567"/>
      <c r="BT103" s="567"/>
    </row>
    <row r="104" spans="1:72">
      <c r="A104" s="567"/>
      <c r="B104" s="567"/>
      <c r="C104" s="567"/>
      <c r="D104" s="567"/>
      <c r="E104" s="567"/>
      <c r="F104" s="567"/>
      <c r="G104" s="567"/>
      <c r="H104" s="567"/>
      <c r="I104" s="567"/>
      <c r="J104" s="567"/>
      <c r="K104" s="567"/>
      <c r="L104" s="567"/>
      <c r="M104" s="567"/>
      <c r="N104" s="567"/>
      <c r="O104" s="567"/>
      <c r="P104" s="567"/>
      <c r="Q104" s="567"/>
      <c r="R104" s="567"/>
      <c r="S104" s="567"/>
      <c r="T104" s="567"/>
      <c r="U104" s="567"/>
      <c r="V104" s="567"/>
      <c r="W104" s="567"/>
      <c r="X104" s="567"/>
      <c r="Y104" s="567"/>
      <c r="Z104" s="567"/>
      <c r="AA104" s="567"/>
      <c r="AB104" s="567"/>
      <c r="AC104" s="567"/>
      <c r="AD104" s="567"/>
      <c r="AE104" s="567"/>
      <c r="AF104" s="567"/>
      <c r="AG104" s="567"/>
      <c r="AH104" s="567"/>
      <c r="AI104" s="567"/>
      <c r="AJ104" s="567"/>
      <c r="AK104" s="567"/>
      <c r="AL104" s="567"/>
      <c r="AM104" s="567"/>
      <c r="AN104" s="567"/>
      <c r="AO104" s="567"/>
      <c r="AP104" s="567"/>
      <c r="AQ104" s="567"/>
      <c r="AR104" s="567"/>
      <c r="AS104" s="567"/>
      <c r="AT104" s="567"/>
      <c r="AU104" s="567"/>
      <c r="AV104" s="567"/>
      <c r="AW104" s="567"/>
      <c r="AX104" s="567"/>
      <c r="AY104" s="567"/>
      <c r="AZ104" s="567"/>
      <c r="BA104" s="567"/>
      <c r="BB104" s="567"/>
      <c r="BC104" s="567"/>
      <c r="BD104" s="567"/>
      <c r="BE104" s="567"/>
      <c r="BF104" s="567"/>
      <c r="BG104" s="567"/>
      <c r="BH104" s="567"/>
      <c r="BI104" s="567"/>
      <c r="BJ104" s="567"/>
      <c r="BK104" s="567"/>
      <c r="BL104" s="567"/>
      <c r="BM104" s="567"/>
      <c r="BN104" s="567"/>
      <c r="BO104" s="567"/>
      <c r="BP104" s="567"/>
      <c r="BQ104" s="567"/>
      <c r="BR104" s="567"/>
      <c r="BS104" s="567"/>
      <c r="BT104" s="567"/>
    </row>
    <row r="105" spans="1:72">
      <c r="A105" s="567"/>
      <c r="B105" s="567"/>
      <c r="C105" s="567"/>
      <c r="D105" s="567"/>
      <c r="E105" s="567"/>
      <c r="F105" s="567"/>
      <c r="G105" s="567"/>
      <c r="H105" s="567"/>
      <c r="I105" s="567"/>
      <c r="J105" s="567"/>
      <c r="K105" s="567"/>
      <c r="L105" s="567"/>
      <c r="M105" s="567"/>
      <c r="N105" s="567"/>
      <c r="O105" s="567"/>
      <c r="P105" s="567"/>
      <c r="Q105" s="567"/>
      <c r="R105" s="567"/>
      <c r="S105" s="567"/>
      <c r="T105" s="567"/>
      <c r="U105" s="567"/>
      <c r="V105" s="567"/>
      <c r="W105" s="567"/>
      <c r="X105" s="567"/>
      <c r="Y105" s="567"/>
      <c r="Z105" s="567"/>
      <c r="AA105" s="567"/>
      <c r="AB105" s="567"/>
      <c r="AC105" s="567"/>
      <c r="AD105" s="567"/>
      <c r="AE105" s="567"/>
      <c r="AF105" s="567"/>
      <c r="AG105" s="567"/>
      <c r="AH105" s="567"/>
      <c r="AI105" s="567"/>
      <c r="AJ105" s="567"/>
      <c r="AK105" s="567"/>
      <c r="AL105" s="567"/>
      <c r="AM105" s="567"/>
      <c r="AN105" s="567"/>
      <c r="AO105" s="567"/>
      <c r="AP105" s="567"/>
      <c r="AQ105" s="567"/>
      <c r="AR105" s="567"/>
      <c r="AS105" s="567"/>
      <c r="AT105" s="567"/>
      <c r="AU105" s="567"/>
      <c r="AV105" s="567"/>
      <c r="AW105" s="567"/>
      <c r="AX105" s="567"/>
      <c r="AY105" s="567"/>
      <c r="AZ105" s="567"/>
      <c r="BA105" s="567"/>
      <c r="BB105" s="567"/>
      <c r="BC105" s="567"/>
      <c r="BD105" s="567"/>
      <c r="BE105" s="567"/>
      <c r="BF105" s="567"/>
      <c r="BG105" s="567"/>
      <c r="BH105" s="567"/>
      <c r="BI105" s="567"/>
      <c r="BJ105" s="567"/>
      <c r="BK105" s="567"/>
      <c r="BL105" s="567"/>
      <c r="BM105" s="567"/>
      <c r="BN105" s="567"/>
      <c r="BO105" s="567"/>
      <c r="BP105" s="567"/>
      <c r="BQ105" s="567"/>
      <c r="BR105" s="567"/>
      <c r="BS105" s="567"/>
      <c r="BT105" s="567"/>
    </row>
    <row r="106" spans="1:72">
      <c r="A106" s="567"/>
      <c r="B106" s="567" t="s">
        <v>187</v>
      </c>
      <c r="C106" s="567"/>
      <c r="D106" s="567"/>
      <c r="E106" s="567"/>
      <c r="F106" s="567"/>
      <c r="G106" s="567"/>
      <c r="H106" s="567"/>
      <c r="I106" s="567"/>
      <c r="J106" s="567"/>
      <c r="K106" s="567"/>
      <c r="L106" s="567"/>
      <c r="M106" s="567"/>
      <c r="N106" s="567"/>
      <c r="O106" s="567"/>
      <c r="P106" s="567"/>
      <c r="Q106" s="567"/>
      <c r="R106" s="567"/>
      <c r="S106" s="567"/>
      <c r="T106" s="567"/>
      <c r="U106" s="567"/>
      <c r="V106" s="567"/>
      <c r="W106" s="567"/>
      <c r="X106" s="567"/>
      <c r="Y106" s="567"/>
      <c r="Z106" s="567"/>
      <c r="AA106" s="567"/>
      <c r="AB106" s="567"/>
      <c r="AC106" s="567"/>
      <c r="AD106" s="567"/>
      <c r="AE106" s="567"/>
      <c r="AF106" s="567"/>
      <c r="AG106" s="567"/>
      <c r="AH106" s="567"/>
      <c r="AI106" s="567"/>
      <c r="AJ106" s="567"/>
      <c r="AK106" s="567"/>
      <c r="AL106" s="567"/>
      <c r="AM106" s="567"/>
      <c r="AN106" s="567"/>
      <c r="AO106" s="567"/>
      <c r="AP106" s="567"/>
      <c r="AQ106" s="567"/>
      <c r="AR106" s="567"/>
      <c r="AS106" s="567"/>
      <c r="AT106" s="567"/>
      <c r="AU106" s="567"/>
      <c r="AV106" s="567"/>
      <c r="AW106" s="567"/>
      <c r="AX106" s="567"/>
      <c r="AY106" s="567"/>
      <c r="AZ106" s="567"/>
      <c r="BA106" s="567"/>
      <c r="BB106" s="567"/>
      <c r="BC106" s="567"/>
      <c r="BD106" s="567"/>
      <c r="BE106" s="567"/>
      <c r="BF106" s="567"/>
      <c r="BG106" s="567"/>
      <c r="BH106" s="567"/>
      <c r="BI106" s="567"/>
      <c r="BJ106" s="567"/>
      <c r="BK106" s="567"/>
      <c r="BL106" s="567"/>
      <c r="BM106" s="567"/>
      <c r="BN106" s="567"/>
      <c r="BO106" s="567"/>
      <c r="BP106" s="567"/>
      <c r="BQ106" s="567"/>
      <c r="BR106" s="567"/>
      <c r="BS106" s="567"/>
      <c r="BT106" s="567"/>
    </row>
    <row r="107" spans="1:72">
      <c r="A107" s="567"/>
      <c r="B107" s="567" t="str">
        <f>B97</f>
        <v>Interest Incurred</v>
      </c>
      <c r="C107" s="567"/>
      <c r="D107" s="567"/>
      <c r="E107" s="567"/>
      <c r="F107" s="567"/>
      <c r="G107" s="567"/>
      <c r="H107" s="567"/>
      <c r="I107" s="567"/>
      <c r="J107" s="567"/>
      <c r="K107" s="567"/>
      <c r="L107" s="567"/>
      <c r="M107" s="567"/>
      <c r="N107" s="567"/>
      <c r="O107" s="567"/>
      <c r="P107" s="567"/>
      <c r="Q107" s="567"/>
      <c r="R107" s="567"/>
      <c r="S107" s="567"/>
      <c r="T107" s="567"/>
      <c r="U107" s="571">
        <f t="shared" ref="U107:AA107" si="711">SUM(R97:U97)</f>
        <v>0</v>
      </c>
      <c r="V107" s="571">
        <f t="shared" si="711"/>
        <v>0</v>
      </c>
      <c r="W107" s="571">
        <f t="shared" si="711"/>
        <v>0</v>
      </c>
      <c r="X107" s="571">
        <f t="shared" si="711"/>
        <v>7732</v>
      </c>
      <c r="Y107" s="571">
        <f t="shared" si="711"/>
        <v>15772</v>
      </c>
      <c r="Z107" s="571">
        <f t="shared" si="711"/>
        <v>21863</v>
      </c>
      <c r="AA107" s="571">
        <f t="shared" si="711"/>
        <v>28360</v>
      </c>
      <c r="AB107" s="571">
        <f>SUM(Y97:AB97)</f>
        <v>27655</v>
      </c>
      <c r="AC107" s="571">
        <f>SUM(Z97:AC97)</f>
        <v>29053</v>
      </c>
      <c r="AD107" s="571">
        <f t="shared" ref="AD107:AE107" si="712">SUM(AA97:AD97)</f>
        <v>37545</v>
      </c>
      <c r="AE107" s="571">
        <f t="shared" si="712"/>
        <v>49281</v>
      </c>
      <c r="AF107" s="571">
        <f t="shared" ref="AF107" si="713">SUM(AC97:AF97)</f>
        <v>61423</v>
      </c>
      <c r="AG107" s="571">
        <f t="shared" ref="AG107" si="714">SUM(AD97:AG97)</f>
        <v>74103</v>
      </c>
      <c r="AH107" s="571">
        <f t="shared" ref="AH107" si="715">SUM(AE97:AH97)</f>
        <v>66515</v>
      </c>
      <c r="AI107" s="571">
        <f t="shared" ref="AI107" si="716">SUM(AF97:AI97)</f>
        <v>69371</v>
      </c>
      <c r="AJ107" s="571">
        <f t="shared" ref="AJ107" si="717">SUM(AG97:AJ97)</f>
        <v>78629</v>
      </c>
      <c r="AK107" s="571">
        <f t="shared" ref="AK107" si="718">SUM(AH97:AK97)</f>
        <v>82785</v>
      </c>
      <c r="AL107" s="571">
        <f t="shared" ref="AL107" si="719">SUM(AI97:AL97)</f>
        <v>106874</v>
      </c>
      <c r="AM107" s="570">
        <v>119009</v>
      </c>
      <c r="AN107" s="570">
        <v>119570</v>
      </c>
      <c r="AO107" s="570">
        <v>122387</v>
      </c>
      <c r="AP107" s="570">
        <v>125115</v>
      </c>
      <c r="AQ107" s="570">
        <v>126847</v>
      </c>
      <c r="AR107" s="570"/>
      <c r="AS107" s="570"/>
      <c r="AT107" s="570"/>
      <c r="AU107" s="570"/>
      <c r="AV107" s="570"/>
      <c r="AW107" s="570"/>
      <c r="AX107" s="570"/>
      <c r="AY107" s="570"/>
      <c r="AZ107" s="570"/>
      <c r="BA107" s="570"/>
      <c r="BB107" s="570"/>
      <c r="BC107" s="570"/>
      <c r="BD107" s="570"/>
      <c r="BE107" s="570"/>
      <c r="BF107" s="570"/>
      <c r="BG107" s="519"/>
      <c r="BH107" s="519"/>
      <c r="BI107" s="519"/>
      <c r="BJ107" s="519"/>
      <c r="BK107" s="519"/>
      <c r="BL107" s="519"/>
      <c r="BM107" s="519"/>
      <c r="BN107" s="519"/>
      <c r="BO107" s="519"/>
      <c r="BP107" s="519"/>
      <c r="BQ107" s="519"/>
      <c r="BR107" s="519"/>
      <c r="BS107" s="519"/>
      <c r="BT107" s="519"/>
    </row>
    <row r="108" spans="1:72">
      <c r="A108" s="567"/>
      <c r="B108" s="567"/>
      <c r="C108" s="567"/>
      <c r="D108" s="567"/>
      <c r="E108" s="567"/>
      <c r="F108" s="567"/>
      <c r="G108" s="567"/>
      <c r="H108" s="567"/>
      <c r="I108" s="567"/>
      <c r="J108" s="567"/>
      <c r="K108" s="567"/>
      <c r="L108" s="567"/>
      <c r="M108" s="567"/>
      <c r="N108" s="567"/>
      <c r="O108" s="567"/>
      <c r="P108" s="567"/>
      <c r="Q108" s="567"/>
      <c r="R108" s="567"/>
      <c r="S108" s="567"/>
      <c r="T108" s="567"/>
      <c r="U108" s="567"/>
      <c r="V108" s="567"/>
      <c r="W108" s="567"/>
      <c r="X108" s="571"/>
      <c r="Y108" s="571"/>
      <c r="Z108" s="571"/>
      <c r="AA108" s="571"/>
      <c r="AB108" s="571"/>
      <c r="AC108" s="571"/>
      <c r="AD108" s="567"/>
      <c r="AE108" s="567"/>
      <c r="AF108" s="567"/>
      <c r="AG108" s="567"/>
      <c r="AH108" s="567"/>
      <c r="AI108" s="567"/>
      <c r="AJ108" s="567"/>
      <c r="AK108" s="567"/>
      <c r="AL108" s="567"/>
      <c r="AM108" s="567"/>
      <c r="AN108" s="567"/>
      <c r="AO108" s="567"/>
      <c r="AP108" s="567"/>
      <c r="AQ108" s="567"/>
      <c r="AR108" s="567"/>
      <c r="AS108" s="567"/>
      <c r="AT108" s="567"/>
      <c r="AU108" s="567"/>
      <c r="AV108" s="567"/>
      <c r="AW108" s="567"/>
      <c r="AX108" s="567"/>
      <c r="AY108" s="567"/>
      <c r="AZ108" s="567"/>
      <c r="BA108" s="567"/>
      <c r="BB108" s="567"/>
      <c r="BC108" s="567"/>
      <c r="BD108" s="567"/>
      <c r="BE108" s="567"/>
      <c r="BF108" s="567"/>
      <c r="BG108" s="567"/>
      <c r="BH108" s="567"/>
      <c r="BI108" s="567"/>
      <c r="BJ108" s="567"/>
      <c r="BK108" s="567"/>
      <c r="BL108" s="567"/>
      <c r="BM108" s="567"/>
      <c r="BN108" s="567"/>
      <c r="BO108" s="567"/>
      <c r="BP108" s="567"/>
      <c r="BQ108" s="567"/>
      <c r="BR108" s="567"/>
      <c r="BS108" s="567"/>
      <c r="BT108" s="567"/>
    </row>
    <row r="109" spans="1:72">
      <c r="A109" s="567"/>
      <c r="B109" s="567" t="s">
        <v>293</v>
      </c>
      <c r="C109" s="567"/>
      <c r="D109" s="567"/>
      <c r="E109" s="567"/>
      <c r="F109" s="567"/>
      <c r="G109" s="567"/>
      <c r="H109" s="567"/>
      <c r="I109" s="567"/>
      <c r="J109" s="567"/>
      <c r="K109" s="567"/>
      <c r="L109" s="567"/>
      <c r="M109" s="567"/>
      <c r="N109" s="567"/>
      <c r="O109" s="567"/>
      <c r="P109" s="567"/>
      <c r="Q109" s="567"/>
      <c r="R109" s="567"/>
      <c r="S109" s="567"/>
      <c r="T109" s="567"/>
      <c r="U109" s="567"/>
      <c r="V109" s="567"/>
      <c r="W109" s="567"/>
      <c r="X109" s="571">
        <f>'Income Stmt'!W19</f>
        <v>99658</v>
      </c>
      <c r="Y109" s="571">
        <f>'Income Stmt'!X28</f>
        <v>445224</v>
      </c>
      <c r="Z109" s="571">
        <f>'Income Stmt'!Y28</f>
        <v>456770</v>
      </c>
      <c r="AA109" s="571">
        <f>'Income Stmt'!Z28</f>
        <v>429645</v>
      </c>
      <c r="AB109" s="571">
        <f>'Income Stmt'!AA28</f>
        <v>408673</v>
      </c>
      <c r="AC109" s="571">
        <f>'Income Stmt'!AB28</f>
        <v>413915</v>
      </c>
      <c r="AD109" s="571">
        <f>'Income Stmt'!AC28</f>
        <v>403755</v>
      </c>
      <c r="AE109" s="571">
        <f>'Income Stmt'!AD28</f>
        <v>326567</v>
      </c>
      <c r="AF109" s="571">
        <f>'Income Stmt'!AE28</f>
        <v>274843</v>
      </c>
      <c r="AG109" s="571">
        <f>'Income Stmt'!AF28</f>
        <v>204601</v>
      </c>
      <c r="AH109" s="571">
        <f>'Income Stmt'!AG28</f>
        <v>181253</v>
      </c>
      <c r="AI109" s="571">
        <f>'Income Stmt'!AH28</f>
        <v>199227</v>
      </c>
      <c r="AJ109" s="571">
        <f>'Income Stmt'!AI28</f>
        <v>189318</v>
      </c>
      <c r="AK109" s="571">
        <f>'Income Stmt'!AJ28</f>
        <v>236161</v>
      </c>
      <c r="AL109" s="571">
        <f>'Income Stmt'!AK28</f>
        <v>197290</v>
      </c>
      <c r="AM109" s="571">
        <f>'Income Stmt'!AL28</f>
        <v>196071</v>
      </c>
      <c r="AN109" s="571">
        <f>'Income Stmt'!AM28</f>
        <v>184742</v>
      </c>
      <c r="AO109" s="571">
        <f>'Income Stmt'!AN28</f>
        <v>126805</v>
      </c>
      <c r="AP109" s="571">
        <f>'Income Stmt'!AO28</f>
        <v>125335</v>
      </c>
      <c r="AQ109" s="571">
        <f>'Income Stmt'!AP28</f>
        <v>98486</v>
      </c>
      <c r="AR109" s="571">
        <f>'Income Stmt'!AQ28</f>
        <v>97081</v>
      </c>
      <c r="AS109" s="571">
        <f>'Income Stmt'!AR28</f>
        <v>55041</v>
      </c>
      <c r="AT109" s="571">
        <f>'Income Stmt'!AS28</f>
        <v>28340</v>
      </c>
      <c r="AU109" s="571">
        <f>'Income Stmt'!AT28</f>
        <v>0</v>
      </c>
      <c r="AV109" s="571">
        <f>'Income Stmt'!AU28</f>
        <v>0</v>
      </c>
      <c r="AW109" s="571">
        <f>'Income Stmt'!AV28</f>
        <v>0</v>
      </c>
      <c r="AX109" s="571">
        <f>'Income Stmt'!AW28</f>
        <v>0</v>
      </c>
      <c r="AY109" s="571">
        <f>'Income Stmt'!AX28</f>
        <v>0</v>
      </c>
      <c r="AZ109" s="571">
        <f>'Income Stmt'!AY28</f>
        <v>0</v>
      </c>
      <c r="BA109" s="571">
        <f>'Income Stmt'!AZ28</f>
        <v>0</v>
      </c>
      <c r="BB109" s="571">
        <f>'Income Stmt'!BA28</f>
        <v>0</v>
      </c>
      <c r="BC109" s="567"/>
      <c r="BD109" s="567"/>
      <c r="BE109" s="567"/>
      <c r="BF109" s="567"/>
      <c r="BG109" s="567"/>
      <c r="BH109" s="567"/>
      <c r="BI109" s="567"/>
      <c r="BJ109" s="567"/>
      <c r="BK109" s="567"/>
      <c r="BL109" s="567"/>
      <c r="BM109" s="567"/>
      <c r="BN109" s="567"/>
      <c r="BO109" s="567"/>
      <c r="BP109" s="567"/>
      <c r="BQ109" s="567"/>
      <c r="BR109" s="567"/>
      <c r="BS109" s="567"/>
      <c r="BT109" s="567"/>
    </row>
    <row r="110" spans="1:72">
      <c r="A110" s="567"/>
      <c r="B110" s="567" t="str">
        <f>B100</f>
        <v>Depreciation and Ammortization</v>
      </c>
      <c r="C110" s="567"/>
      <c r="D110" s="567"/>
      <c r="E110" s="567"/>
      <c r="F110" s="567"/>
      <c r="G110" s="567"/>
      <c r="H110" s="567"/>
      <c r="I110" s="567"/>
      <c r="J110" s="567"/>
      <c r="K110" s="567"/>
      <c r="L110" s="567"/>
      <c r="M110" s="567"/>
      <c r="N110" s="567"/>
      <c r="O110" s="567"/>
      <c r="P110" s="567"/>
      <c r="Q110" s="567"/>
      <c r="R110" s="567"/>
      <c r="S110" s="567"/>
      <c r="T110" s="567"/>
      <c r="U110" s="571">
        <f t="shared" ref="U110:W110" si="720">SUM(R100:U100)</f>
        <v>0</v>
      </c>
      <c r="V110" s="571">
        <f t="shared" si="720"/>
        <v>0</v>
      </c>
      <c r="W110" s="571">
        <f t="shared" si="720"/>
        <v>0</v>
      </c>
      <c r="X110" s="571">
        <f>SUM(U100:X100)</f>
        <v>288</v>
      </c>
      <c r="Y110" s="571">
        <f t="shared" ref="Y110:AE110" si="721">SUM(V100:Y100)</f>
        <v>537</v>
      </c>
      <c r="Z110" s="571">
        <f t="shared" si="721"/>
        <v>832</v>
      </c>
      <c r="AA110" s="571">
        <f t="shared" si="721"/>
        <v>1154</v>
      </c>
      <c r="AB110" s="571">
        <f t="shared" si="721"/>
        <v>1214</v>
      </c>
      <c r="AC110" s="571">
        <f t="shared" si="721"/>
        <v>1347</v>
      </c>
      <c r="AD110" s="571">
        <f t="shared" si="721"/>
        <v>1456</v>
      </c>
      <c r="AE110" s="571">
        <f t="shared" si="721"/>
        <v>1576</v>
      </c>
      <c r="AF110" s="571">
        <f t="shared" ref="AF110:AF112" si="722">SUM(AC100:AF100)</f>
        <v>1636</v>
      </c>
      <c r="AG110" s="571">
        <f t="shared" ref="AG110:AG112" si="723">SUM(AD100:AG100)</f>
        <v>1833</v>
      </c>
      <c r="AH110" s="571">
        <f t="shared" ref="AH110:AH112" si="724">SUM(AE100:AH100)</f>
        <v>1818</v>
      </c>
      <c r="AI110" s="571">
        <f t="shared" ref="AI110:AI112" si="725">SUM(AF100:AI100)</f>
        <v>1966</v>
      </c>
      <c r="AJ110" s="571">
        <f t="shared" ref="AJ110:AJ112" si="726">SUM(AG100:AJ100)</f>
        <v>2191</v>
      </c>
      <c r="AK110" s="571">
        <f t="shared" ref="AK110:AK112" si="727">SUM(AH100:AK100)</f>
        <v>2292</v>
      </c>
      <c r="AL110" s="571">
        <f t="shared" ref="AL110:AL112" si="728">SUM(AI100:AL100)</f>
        <v>2519</v>
      </c>
      <c r="AM110" s="570">
        <v>3108</v>
      </c>
      <c r="AN110" s="570">
        <v>3296</v>
      </c>
      <c r="AO110" s="570">
        <v>3533</v>
      </c>
      <c r="AP110" s="570">
        <v>3881</v>
      </c>
      <c r="AQ110" s="570">
        <v>4322</v>
      </c>
      <c r="AR110" s="570"/>
      <c r="AS110" s="570"/>
      <c r="AT110" s="570"/>
      <c r="AU110" s="570"/>
      <c r="AV110" s="570"/>
      <c r="AW110" s="570"/>
      <c r="AX110" s="570"/>
      <c r="AY110" s="570"/>
      <c r="AZ110" s="570"/>
      <c r="BA110" s="570"/>
      <c r="BB110" s="570"/>
      <c r="BC110" s="570"/>
      <c r="BD110" s="570"/>
      <c r="BE110" s="570"/>
      <c r="BF110" s="570"/>
      <c r="BG110" s="570"/>
      <c r="BH110" s="570"/>
      <c r="BI110" s="570"/>
      <c r="BJ110" s="570"/>
      <c r="BK110" s="571"/>
      <c r="BL110" s="571"/>
      <c r="BM110" s="571"/>
      <c r="BN110" s="571"/>
      <c r="BO110" s="571"/>
      <c r="BP110" s="567"/>
      <c r="BQ110" s="567"/>
      <c r="BR110" s="567"/>
      <c r="BS110" s="567"/>
      <c r="BT110" s="567"/>
    </row>
    <row r="111" spans="1:72">
      <c r="A111" s="567"/>
      <c r="B111" s="567" t="str">
        <f>B101</f>
        <v>Interest Expense</v>
      </c>
      <c r="C111" s="567"/>
      <c r="D111" s="567"/>
      <c r="E111" s="567"/>
      <c r="F111" s="567"/>
      <c r="G111" s="567"/>
      <c r="H111" s="567"/>
      <c r="I111" s="567"/>
      <c r="J111" s="567"/>
      <c r="K111" s="567"/>
      <c r="L111" s="567"/>
      <c r="M111" s="567"/>
      <c r="N111" s="567"/>
      <c r="O111" s="567"/>
      <c r="P111" s="567"/>
      <c r="Q111" s="567"/>
      <c r="R111" s="567"/>
      <c r="S111" s="567"/>
      <c r="T111" s="567"/>
      <c r="U111" s="571">
        <f t="shared" ref="U111:W111" si="729">SUM(R101:U101)</f>
        <v>0</v>
      </c>
      <c r="V111" s="571">
        <f t="shared" si="729"/>
        <v>0</v>
      </c>
      <c r="W111" s="571">
        <f t="shared" si="729"/>
        <v>0</v>
      </c>
      <c r="X111" s="571">
        <f>SUM(U101:X101)</f>
        <v>10672</v>
      </c>
      <c r="Y111" s="571">
        <f t="shared" ref="Y111:AC111" si="730">SUM(V101:Y101)</f>
        <v>21114</v>
      </c>
      <c r="Z111" s="571">
        <f t="shared" si="730"/>
        <v>29717</v>
      </c>
      <c r="AA111" s="571">
        <f t="shared" si="730"/>
        <v>37546</v>
      </c>
      <c r="AB111" s="571">
        <f t="shared" si="730"/>
        <v>31387</v>
      </c>
      <c r="AC111" s="571">
        <f t="shared" si="730"/>
        <v>26680</v>
      </c>
      <c r="AD111" s="571">
        <f t="shared" ref="AD111" si="731">SUM(AA101:AD101)</f>
        <v>22694</v>
      </c>
      <c r="AE111" s="571">
        <f t="shared" ref="AE111" si="732">SUM(AB101:AE101)</f>
        <v>20276</v>
      </c>
      <c r="AF111" s="571">
        <f t="shared" si="722"/>
        <v>22520</v>
      </c>
      <c r="AG111" s="571">
        <f t="shared" si="723"/>
        <v>25923</v>
      </c>
      <c r="AH111" s="571">
        <f t="shared" si="724"/>
        <v>25269</v>
      </c>
      <c r="AI111" s="571">
        <f t="shared" si="725"/>
        <v>27957</v>
      </c>
      <c r="AJ111" s="571">
        <f t="shared" si="726"/>
        <v>26455</v>
      </c>
      <c r="AK111" s="571">
        <f t="shared" si="727"/>
        <v>25568</v>
      </c>
      <c r="AL111" s="571">
        <f t="shared" si="728"/>
        <v>35117</v>
      </c>
      <c r="AM111" s="570">
        <v>119009</v>
      </c>
      <c r="AN111" s="570">
        <v>43737</v>
      </c>
      <c r="AO111" s="570">
        <v>44941</v>
      </c>
      <c r="AP111" s="570">
        <v>42991</v>
      </c>
      <c r="AQ111" s="570">
        <v>45543</v>
      </c>
      <c r="AR111" s="570"/>
      <c r="AS111" s="570"/>
      <c r="AT111" s="570"/>
      <c r="AU111" s="570"/>
      <c r="AV111" s="570"/>
      <c r="AW111" s="570"/>
      <c r="AX111" s="570"/>
      <c r="AY111" s="570"/>
      <c r="AZ111" s="570"/>
      <c r="BA111" s="570"/>
      <c r="BB111" s="570"/>
      <c r="BC111" s="519"/>
      <c r="BD111" s="519"/>
      <c r="BE111" s="519"/>
      <c r="BF111" s="519"/>
      <c r="BG111" s="519"/>
      <c r="BH111" s="519"/>
      <c r="BI111" s="519"/>
      <c r="BJ111" s="519"/>
      <c r="BK111" s="567"/>
      <c r="BL111" s="567"/>
      <c r="BM111" s="567"/>
      <c r="BN111" s="567"/>
      <c r="BO111" s="567"/>
      <c r="BP111" s="567"/>
      <c r="BQ111" s="567"/>
      <c r="BR111" s="567"/>
      <c r="BS111" s="567"/>
      <c r="BT111" s="567"/>
    </row>
    <row r="112" spans="1:72" s="572" customFormat="1">
      <c r="A112" s="573"/>
      <c r="B112" s="573" t="s">
        <v>296</v>
      </c>
      <c r="C112" s="573"/>
      <c r="D112" s="573"/>
      <c r="E112" s="573"/>
      <c r="F112" s="573"/>
      <c r="G112" s="573"/>
      <c r="H112" s="573"/>
      <c r="I112" s="573"/>
      <c r="J112" s="573"/>
      <c r="K112" s="573"/>
      <c r="L112" s="573"/>
      <c r="M112" s="573"/>
      <c r="N112" s="573"/>
      <c r="O112" s="573"/>
      <c r="P112" s="573"/>
      <c r="Q112" s="573"/>
      <c r="R112" s="573"/>
      <c r="S112" s="573"/>
      <c r="T112" s="573"/>
      <c r="U112" s="573"/>
      <c r="V112" s="573"/>
      <c r="W112" s="573"/>
      <c r="X112" s="573"/>
      <c r="Y112" s="573"/>
      <c r="Z112" s="573"/>
      <c r="AA112" s="623">
        <f t="shared" ref="AA112:AC112" si="733">SUM(X102:AA102)</f>
        <v>113130</v>
      </c>
      <c r="AB112" s="623">
        <f t="shared" si="733"/>
        <v>110376</v>
      </c>
      <c r="AC112" s="623">
        <f t="shared" si="733"/>
        <v>119025</v>
      </c>
      <c r="AD112" s="623">
        <f>SUM(AA102:AD102)</f>
        <v>110892</v>
      </c>
      <c r="AE112" s="623">
        <f>SUM(AB102:AE102)</f>
        <v>91549</v>
      </c>
      <c r="AF112" s="623">
        <f t="shared" si="722"/>
        <v>76071</v>
      </c>
      <c r="AG112" s="623">
        <f t="shared" si="723"/>
        <v>54710</v>
      </c>
      <c r="AH112" s="623">
        <f t="shared" si="724"/>
        <v>40495</v>
      </c>
      <c r="AI112" s="623">
        <f t="shared" si="725"/>
        <v>49789</v>
      </c>
      <c r="AJ112" s="623">
        <f t="shared" si="726"/>
        <v>57796</v>
      </c>
      <c r="AK112" s="623">
        <f t="shared" si="727"/>
        <v>44942</v>
      </c>
      <c r="AL112" s="623">
        <f t="shared" si="728"/>
        <v>58991</v>
      </c>
      <c r="AM112" s="648">
        <v>62842</v>
      </c>
      <c r="AN112" s="648">
        <v>58531</v>
      </c>
      <c r="AO112" s="648">
        <v>50718</v>
      </c>
      <c r="AP112" s="648">
        <v>35448</v>
      </c>
      <c r="AQ112" s="648">
        <v>27575</v>
      </c>
      <c r="AR112" s="648"/>
      <c r="AS112" s="648"/>
      <c r="AT112" s="648"/>
      <c r="AU112" s="648"/>
      <c r="AV112" s="648"/>
      <c r="AW112" s="648"/>
      <c r="AX112" s="648"/>
      <c r="AY112" s="648"/>
      <c r="AZ112" s="648"/>
      <c r="BA112" s="648"/>
      <c r="BB112" s="648"/>
      <c r="BC112" s="649"/>
      <c r="BD112" s="649"/>
      <c r="BE112" s="649"/>
      <c r="BF112" s="649"/>
      <c r="BG112" s="649"/>
      <c r="BH112" s="649"/>
      <c r="BI112" s="649"/>
      <c r="BJ112" s="649"/>
      <c r="BK112" s="573"/>
      <c r="BL112" s="573"/>
      <c r="BM112" s="573"/>
      <c r="BN112" s="573"/>
      <c r="BO112" s="573"/>
      <c r="BP112" s="573"/>
      <c r="BQ112" s="573"/>
      <c r="BR112" s="573"/>
      <c r="BS112" s="573"/>
      <c r="BT112" s="573"/>
    </row>
    <row r="113" spans="1:72" s="572" customFormat="1">
      <c r="A113" s="573"/>
      <c r="B113" s="574" t="s">
        <v>297</v>
      </c>
      <c r="C113" s="573"/>
      <c r="D113" s="573"/>
      <c r="E113" s="573"/>
      <c r="F113" s="573"/>
      <c r="G113" s="573"/>
      <c r="H113" s="573"/>
      <c r="I113" s="573"/>
      <c r="J113" s="573"/>
      <c r="K113" s="573"/>
      <c r="L113" s="573"/>
      <c r="M113" s="573"/>
      <c r="N113" s="573"/>
      <c r="O113" s="573"/>
      <c r="P113" s="573"/>
      <c r="Q113" s="573"/>
      <c r="R113" s="573"/>
      <c r="S113" s="573"/>
      <c r="T113" s="573"/>
      <c r="U113" s="573"/>
      <c r="V113" s="573"/>
      <c r="W113" s="573"/>
      <c r="X113" s="573"/>
      <c r="Y113" s="573"/>
      <c r="Z113" s="573"/>
      <c r="AA113" s="623">
        <f>AA109+AA110+AA111+AA112</f>
        <v>581475</v>
      </c>
      <c r="AB113" s="623">
        <f t="shared" ref="AB113:AE113" si="734">AB109+AB110+AB111+AB112</f>
        <v>551650</v>
      </c>
      <c r="AC113" s="623">
        <f t="shared" si="734"/>
        <v>560967</v>
      </c>
      <c r="AD113" s="623">
        <f t="shared" si="734"/>
        <v>538797</v>
      </c>
      <c r="AE113" s="623">
        <f t="shared" si="734"/>
        <v>439968</v>
      </c>
      <c r="AF113" s="623">
        <f t="shared" ref="AF113:AL113" si="735">AF109+AF110+AF111+AF112</f>
        <v>375070</v>
      </c>
      <c r="AG113" s="623">
        <f t="shared" si="735"/>
        <v>287067</v>
      </c>
      <c r="AH113" s="623">
        <f t="shared" si="735"/>
        <v>248835</v>
      </c>
      <c r="AI113" s="623">
        <f t="shared" si="735"/>
        <v>278939</v>
      </c>
      <c r="AJ113" s="623">
        <f t="shared" si="735"/>
        <v>275760</v>
      </c>
      <c r="AK113" s="623">
        <f t="shared" si="735"/>
        <v>308963</v>
      </c>
      <c r="AL113" s="623">
        <f t="shared" si="735"/>
        <v>293917</v>
      </c>
      <c r="AM113" s="648">
        <v>304092</v>
      </c>
      <c r="AN113" s="648">
        <v>288576</v>
      </c>
      <c r="AO113" s="648">
        <v>255174</v>
      </c>
      <c r="AP113" s="648">
        <v>188421</v>
      </c>
      <c r="AQ113" s="648">
        <v>155067</v>
      </c>
      <c r="AR113" s="648"/>
      <c r="AS113" s="648"/>
      <c r="AT113" s="648"/>
      <c r="AU113" s="648"/>
      <c r="AV113" s="648"/>
      <c r="AW113" s="648"/>
      <c r="AX113" s="648"/>
      <c r="AY113" s="648"/>
      <c r="AZ113" s="648"/>
      <c r="BA113" s="648"/>
      <c r="BB113" s="648"/>
      <c r="BC113" s="649"/>
      <c r="BD113" s="649"/>
      <c r="BE113" s="649"/>
      <c r="BF113" s="649"/>
      <c r="BG113" s="649"/>
      <c r="BH113" s="649"/>
      <c r="BI113" s="649"/>
      <c r="BJ113" s="649"/>
      <c r="BK113" s="573"/>
      <c r="BL113" s="573"/>
      <c r="BM113" s="573"/>
      <c r="BN113" s="573"/>
      <c r="BO113" s="573"/>
      <c r="BP113" s="573"/>
      <c r="BQ113" s="573"/>
      <c r="BR113" s="573"/>
      <c r="BS113" s="573"/>
      <c r="BT113" s="573"/>
    </row>
    <row r="114" spans="1:72">
      <c r="A114" s="567"/>
      <c r="B114" s="567"/>
      <c r="C114" s="567"/>
      <c r="D114" s="567"/>
      <c r="E114" s="567"/>
      <c r="F114" s="567"/>
      <c r="G114" s="567"/>
      <c r="H114" s="567"/>
      <c r="I114" s="567"/>
      <c r="J114" s="567"/>
      <c r="K114" s="567"/>
      <c r="L114" s="567"/>
      <c r="M114" s="567"/>
      <c r="N114" s="567"/>
      <c r="O114" s="567"/>
      <c r="P114" s="567"/>
      <c r="Q114" s="567"/>
      <c r="R114" s="567"/>
      <c r="S114" s="567"/>
      <c r="T114" s="567"/>
      <c r="U114" s="567"/>
      <c r="V114" s="567"/>
      <c r="W114" s="567"/>
      <c r="X114" s="567"/>
      <c r="Y114" s="567"/>
      <c r="Z114" s="567"/>
      <c r="AA114" s="567"/>
      <c r="AB114" s="567"/>
      <c r="AC114" s="567"/>
      <c r="AD114" s="567"/>
      <c r="AE114" s="567"/>
      <c r="AF114" s="567"/>
      <c r="AG114" s="567"/>
      <c r="AH114" s="567"/>
      <c r="AI114" s="567"/>
      <c r="AJ114" s="567"/>
      <c r="AK114" s="567"/>
      <c r="AL114" s="567"/>
      <c r="AM114" s="567"/>
      <c r="AN114" s="567"/>
      <c r="AO114" s="567"/>
      <c r="AP114" s="567"/>
      <c r="AQ114" s="567"/>
      <c r="AR114" s="567"/>
      <c r="AS114" s="567"/>
      <c r="AT114" s="567"/>
      <c r="AU114" s="567"/>
      <c r="AV114" s="567"/>
      <c r="AW114" s="567"/>
      <c r="AX114" s="567"/>
      <c r="AY114" s="567"/>
      <c r="AZ114" s="567"/>
      <c r="BA114" s="567"/>
      <c r="BB114" s="567"/>
      <c r="BC114" s="567"/>
      <c r="BD114" s="567"/>
      <c r="BE114" s="567"/>
      <c r="BF114" s="567"/>
      <c r="BG114" s="567"/>
      <c r="BH114" s="567"/>
      <c r="BI114" s="567"/>
      <c r="BJ114" s="567"/>
      <c r="BK114" s="567"/>
      <c r="BL114" s="567"/>
      <c r="BM114" s="567"/>
      <c r="BN114" s="567"/>
      <c r="BO114" s="567"/>
      <c r="BP114" s="567"/>
      <c r="BQ114" s="567"/>
      <c r="BR114" s="567"/>
      <c r="BS114" s="567"/>
      <c r="BT114" s="567"/>
    </row>
    <row r="115" spans="1:72">
      <c r="A115" s="567"/>
      <c r="B115" s="567"/>
      <c r="C115" s="567"/>
      <c r="D115" s="567"/>
      <c r="E115" s="567"/>
      <c r="F115" s="567"/>
      <c r="G115" s="567"/>
      <c r="H115" s="567"/>
      <c r="I115" s="567"/>
      <c r="J115" s="567"/>
      <c r="K115" s="567"/>
      <c r="L115" s="567"/>
      <c r="M115" s="567"/>
      <c r="N115" s="567"/>
      <c r="O115" s="567"/>
      <c r="P115" s="567"/>
      <c r="Q115" s="567"/>
      <c r="R115" s="567"/>
      <c r="S115" s="567"/>
      <c r="T115" s="567"/>
      <c r="U115" s="567"/>
      <c r="V115" s="567"/>
      <c r="W115" s="567"/>
      <c r="X115" s="567"/>
      <c r="Y115" s="567"/>
      <c r="Z115" s="567"/>
      <c r="AA115" s="567"/>
      <c r="AB115" s="567"/>
      <c r="AC115" s="567"/>
      <c r="AD115" s="567"/>
      <c r="AE115" s="567"/>
      <c r="AF115" s="567"/>
      <c r="AG115" s="567"/>
      <c r="AH115" s="567"/>
      <c r="AI115" s="567"/>
      <c r="AJ115" s="567"/>
      <c r="AK115" s="567"/>
      <c r="AL115" s="567"/>
      <c r="AM115" s="567"/>
      <c r="AN115" s="567"/>
      <c r="AO115" s="567"/>
      <c r="AP115" s="567"/>
      <c r="AQ115" s="567"/>
      <c r="AR115" s="567"/>
      <c r="AS115" s="567"/>
      <c r="AT115" s="567"/>
      <c r="AU115" s="567"/>
      <c r="AV115" s="567"/>
      <c r="AW115" s="567"/>
      <c r="AX115" s="567"/>
      <c r="AY115" s="567"/>
      <c r="AZ115" s="567"/>
      <c r="BA115" s="567"/>
      <c r="BB115" s="567"/>
      <c r="BC115" s="567"/>
      <c r="BD115" s="567"/>
      <c r="BE115" s="567"/>
      <c r="BF115" s="567"/>
      <c r="BG115" s="567"/>
      <c r="BH115" s="567"/>
      <c r="BI115" s="567"/>
      <c r="BJ115" s="567"/>
      <c r="BK115" s="567"/>
      <c r="BL115" s="567"/>
      <c r="BM115" s="567"/>
      <c r="BN115" s="567"/>
      <c r="BO115" s="567"/>
      <c r="BP115" s="567"/>
      <c r="BQ115" s="567"/>
      <c r="BR115" s="567"/>
      <c r="BS115" s="567"/>
      <c r="BT115" s="567"/>
    </row>
    <row r="116" spans="1:72">
      <c r="A116" s="567"/>
      <c r="B116" s="567"/>
      <c r="C116" s="567"/>
      <c r="D116" s="567"/>
      <c r="E116" s="567"/>
      <c r="F116" s="567"/>
      <c r="G116" s="567"/>
      <c r="H116" s="567"/>
      <c r="I116" s="567"/>
      <c r="J116" s="567"/>
      <c r="K116" s="567"/>
      <c r="L116" s="567"/>
      <c r="M116" s="567"/>
      <c r="N116" s="567"/>
      <c r="O116" s="567"/>
      <c r="P116" s="567"/>
      <c r="Q116" s="567"/>
      <c r="R116" s="567"/>
      <c r="S116" s="567"/>
      <c r="T116" s="567"/>
      <c r="U116" s="567"/>
      <c r="V116" s="567"/>
      <c r="W116" s="567"/>
      <c r="X116" s="567"/>
      <c r="Y116" s="567"/>
      <c r="Z116" s="567"/>
      <c r="AA116" s="567"/>
      <c r="AB116" s="567"/>
      <c r="AC116" s="567"/>
      <c r="AD116" s="567"/>
      <c r="AE116" s="567"/>
      <c r="AF116" s="567"/>
      <c r="AG116" s="567"/>
      <c r="AH116" s="567"/>
      <c r="AI116" s="567"/>
      <c r="AJ116" s="567"/>
      <c r="AK116" s="567"/>
      <c r="AL116" s="567"/>
      <c r="AM116" s="567"/>
      <c r="AN116" s="567"/>
      <c r="AO116" s="567"/>
      <c r="AP116" s="567"/>
      <c r="AQ116" s="567"/>
      <c r="AR116" s="567"/>
      <c r="AS116" s="567"/>
      <c r="AT116" s="567"/>
      <c r="AU116" s="567"/>
      <c r="AV116" s="567"/>
      <c r="AW116" s="567"/>
      <c r="AX116" s="567"/>
      <c r="AY116" s="567"/>
      <c r="AZ116" s="567"/>
      <c r="BA116" s="567"/>
      <c r="BB116" s="567"/>
      <c r="BC116" s="567"/>
      <c r="BD116" s="567"/>
      <c r="BE116" s="567"/>
      <c r="BF116" s="567"/>
      <c r="BG116" s="567"/>
      <c r="BH116" s="567"/>
      <c r="BI116" s="567"/>
      <c r="BJ116" s="567"/>
      <c r="BK116" s="567"/>
      <c r="BL116" s="567"/>
      <c r="BM116" s="567"/>
      <c r="BN116" s="567"/>
      <c r="BO116" s="567"/>
      <c r="BP116" s="567"/>
      <c r="BQ116" s="567"/>
      <c r="BR116" s="567"/>
      <c r="BS116" s="567"/>
      <c r="BT116" s="567"/>
    </row>
    <row r="117" spans="1:72">
      <c r="A117" s="567"/>
      <c r="B117" s="567"/>
      <c r="C117" s="567"/>
      <c r="D117" s="567"/>
      <c r="E117" s="567"/>
      <c r="F117" s="567"/>
      <c r="G117" s="567"/>
      <c r="H117" s="567"/>
      <c r="I117" s="567"/>
      <c r="J117" s="567"/>
      <c r="K117" s="567"/>
      <c r="L117" s="567"/>
      <c r="M117" s="567"/>
      <c r="N117" s="567"/>
      <c r="O117" s="567"/>
      <c r="P117" s="567"/>
      <c r="Q117" s="567"/>
      <c r="R117" s="567"/>
      <c r="S117" s="567"/>
      <c r="T117" s="567"/>
      <c r="U117" s="567"/>
      <c r="V117" s="567"/>
      <c r="W117" s="567"/>
      <c r="X117" s="567"/>
      <c r="Y117" s="567"/>
      <c r="Z117" s="567"/>
      <c r="AA117" s="567"/>
      <c r="AB117" s="567"/>
      <c r="AC117" s="567"/>
      <c r="AD117" s="567"/>
      <c r="AE117" s="567"/>
      <c r="AF117" s="567"/>
      <c r="AG117" s="567"/>
      <c r="AH117" s="567"/>
      <c r="AI117" s="567"/>
      <c r="AJ117" s="567"/>
      <c r="AK117" s="567"/>
      <c r="AL117" s="567"/>
      <c r="AM117" s="567"/>
      <c r="AN117" s="567"/>
      <c r="AO117" s="567"/>
      <c r="AP117" s="567"/>
      <c r="AQ117" s="567"/>
      <c r="AR117" s="567"/>
      <c r="AS117" s="567"/>
      <c r="AT117" s="567"/>
      <c r="AU117" s="567"/>
      <c r="AV117" s="567"/>
      <c r="AW117" s="567"/>
      <c r="AX117" s="567"/>
      <c r="AY117" s="567"/>
      <c r="AZ117" s="567"/>
      <c r="BA117" s="567"/>
      <c r="BB117" s="567"/>
      <c r="BC117" s="567"/>
      <c r="BD117" s="567"/>
      <c r="BE117" s="567"/>
      <c r="BF117" s="567"/>
      <c r="BG117" s="567"/>
      <c r="BH117" s="567"/>
      <c r="BI117" s="567"/>
      <c r="BJ117" s="567"/>
      <c r="BK117" s="567"/>
      <c r="BL117" s="567"/>
      <c r="BM117" s="567"/>
      <c r="BN117" s="567"/>
      <c r="BO117" s="567"/>
      <c r="BP117" s="567"/>
      <c r="BQ117" s="567"/>
      <c r="BR117" s="567"/>
      <c r="BS117" s="567"/>
      <c r="BT117" s="567"/>
    </row>
    <row r="118" spans="1:72">
      <c r="A118" s="567"/>
      <c r="B118" s="567"/>
      <c r="C118" s="567"/>
      <c r="D118" s="567"/>
      <c r="E118" s="567"/>
      <c r="F118" s="567"/>
      <c r="G118" s="567"/>
      <c r="H118" s="567"/>
      <c r="I118" s="567"/>
      <c r="J118" s="567"/>
      <c r="K118" s="567"/>
      <c r="L118" s="567"/>
      <c r="M118" s="567"/>
      <c r="N118" s="567"/>
      <c r="O118" s="567"/>
      <c r="P118" s="567"/>
      <c r="Q118" s="567"/>
      <c r="R118" s="567"/>
      <c r="S118" s="567"/>
      <c r="T118" s="567"/>
      <c r="U118" s="567"/>
      <c r="V118" s="567"/>
      <c r="W118" s="567"/>
      <c r="X118" s="567"/>
      <c r="Y118" s="567"/>
      <c r="Z118" s="567"/>
      <c r="AA118" s="567"/>
      <c r="AB118" s="567"/>
      <c r="AC118" s="567"/>
      <c r="AD118" s="567"/>
      <c r="AE118" s="567"/>
      <c r="AF118" s="567"/>
      <c r="AG118" s="567"/>
      <c r="AH118" s="567"/>
      <c r="AI118" s="567"/>
      <c r="AJ118" s="567"/>
      <c r="AK118" s="567"/>
      <c r="AL118" s="567"/>
      <c r="AM118" s="567"/>
      <c r="AN118" s="567"/>
      <c r="AO118" s="567"/>
      <c r="AP118" s="567"/>
      <c r="AQ118" s="567"/>
      <c r="AR118" s="567"/>
      <c r="AS118" s="567"/>
      <c r="AT118" s="567"/>
      <c r="AU118" s="567"/>
      <c r="AV118" s="567"/>
      <c r="AW118" s="567"/>
      <c r="AX118" s="567"/>
      <c r="AY118" s="567"/>
      <c r="AZ118" s="567"/>
      <c r="BA118" s="567"/>
      <c r="BB118" s="567"/>
      <c r="BC118" s="567"/>
      <c r="BD118" s="567"/>
      <c r="BE118" s="567"/>
      <c r="BF118" s="567"/>
      <c r="BG118" s="567"/>
      <c r="BH118" s="567"/>
      <c r="BI118" s="567"/>
      <c r="BJ118" s="567"/>
      <c r="BK118" s="567"/>
      <c r="BL118" s="567"/>
      <c r="BM118" s="567"/>
      <c r="BN118" s="567"/>
      <c r="BO118" s="567"/>
      <c r="BP118" s="567"/>
      <c r="BQ118" s="567"/>
      <c r="BR118" s="567"/>
      <c r="BS118" s="567"/>
      <c r="BT118" s="567"/>
    </row>
    <row r="119" spans="1:72">
      <c r="A119" s="567"/>
      <c r="B119" s="567"/>
      <c r="C119" s="567"/>
      <c r="D119" s="567"/>
      <c r="E119" s="567"/>
      <c r="F119" s="567"/>
      <c r="G119" s="567"/>
      <c r="H119" s="567"/>
      <c r="I119" s="567"/>
      <c r="J119" s="567"/>
      <c r="K119" s="567"/>
      <c r="L119" s="567"/>
      <c r="M119" s="567"/>
      <c r="N119" s="567"/>
      <c r="O119" s="567"/>
      <c r="P119" s="567"/>
      <c r="Q119" s="567"/>
      <c r="R119" s="567"/>
      <c r="S119" s="567"/>
      <c r="T119" s="567"/>
      <c r="U119" s="567"/>
      <c r="V119" s="567"/>
      <c r="W119" s="567"/>
      <c r="X119" s="567"/>
      <c r="Y119" s="567"/>
      <c r="Z119" s="567"/>
      <c r="AA119" s="567"/>
      <c r="AB119" s="567"/>
      <c r="AC119" s="567"/>
      <c r="AD119" s="567"/>
      <c r="AE119" s="567"/>
      <c r="AF119" s="567"/>
      <c r="AG119" s="567"/>
      <c r="AH119" s="567"/>
      <c r="AI119" s="567"/>
      <c r="AJ119" s="567"/>
      <c r="AK119" s="567"/>
      <c r="AL119" s="567"/>
      <c r="AM119" s="567"/>
      <c r="AN119" s="567"/>
      <c r="AO119" s="567"/>
      <c r="AP119" s="567"/>
      <c r="AQ119" s="567"/>
      <c r="AR119" s="567"/>
      <c r="AS119" s="567"/>
      <c r="AT119" s="567"/>
      <c r="AU119" s="567"/>
      <c r="AV119" s="567"/>
      <c r="AW119" s="567"/>
      <c r="AX119" s="567"/>
      <c r="AY119" s="567"/>
      <c r="AZ119" s="567"/>
      <c r="BA119" s="567"/>
      <c r="BB119" s="567"/>
      <c r="BC119" s="567"/>
      <c r="BD119" s="567"/>
      <c r="BE119" s="567"/>
      <c r="BF119" s="567"/>
      <c r="BG119" s="567"/>
      <c r="BH119" s="567"/>
      <c r="BI119" s="567"/>
      <c r="BJ119" s="567"/>
      <c r="BK119" s="567"/>
      <c r="BL119" s="567"/>
      <c r="BM119" s="567"/>
      <c r="BN119" s="567"/>
      <c r="BO119" s="567"/>
      <c r="BP119" s="567"/>
      <c r="BQ119" s="567"/>
      <c r="BR119" s="567"/>
      <c r="BS119" s="567"/>
      <c r="BT119" s="567"/>
    </row>
    <row r="120" spans="1:72">
      <c r="A120" s="567"/>
      <c r="B120" s="567"/>
      <c r="C120" s="567"/>
      <c r="D120" s="567"/>
      <c r="E120" s="567"/>
      <c r="F120" s="567"/>
      <c r="G120" s="567"/>
      <c r="H120" s="567"/>
      <c r="I120" s="567"/>
      <c r="J120" s="567"/>
      <c r="K120" s="567"/>
      <c r="L120" s="567"/>
      <c r="M120" s="567"/>
      <c r="N120" s="567"/>
      <c r="O120" s="567"/>
      <c r="P120" s="567"/>
      <c r="Q120" s="567"/>
      <c r="R120" s="567"/>
      <c r="S120" s="567"/>
      <c r="T120" s="567"/>
      <c r="U120" s="567"/>
      <c r="V120" s="567"/>
      <c r="W120" s="567"/>
      <c r="X120" s="567"/>
      <c r="Y120" s="567"/>
      <c r="Z120" s="567"/>
      <c r="AA120" s="567"/>
      <c r="AB120" s="567"/>
      <c r="AC120" s="567"/>
      <c r="AD120" s="567"/>
      <c r="AE120" s="567"/>
      <c r="AF120" s="567"/>
      <c r="AG120" s="567"/>
      <c r="AH120" s="567"/>
      <c r="AI120" s="567"/>
      <c r="AJ120" s="567"/>
      <c r="AK120" s="567"/>
      <c r="AL120" s="567"/>
      <c r="AM120" s="567"/>
      <c r="AN120" s="567"/>
      <c r="AO120" s="567"/>
      <c r="AP120" s="567"/>
      <c r="AQ120" s="567"/>
      <c r="AR120" s="567"/>
      <c r="AS120" s="567"/>
      <c r="AT120" s="567"/>
      <c r="AU120" s="567"/>
      <c r="AV120" s="567"/>
      <c r="AW120" s="567"/>
      <c r="AX120" s="567"/>
      <c r="AY120" s="567"/>
      <c r="AZ120" s="567"/>
      <c r="BA120" s="567"/>
      <c r="BB120" s="567"/>
      <c r="BC120" s="567"/>
      <c r="BD120" s="567"/>
      <c r="BE120" s="567"/>
      <c r="BF120" s="567"/>
      <c r="BG120" s="567"/>
      <c r="BH120" s="567"/>
      <c r="BI120" s="567"/>
      <c r="BJ120" s="567"/>
      <c r="BK120" s="567"/>
      <c r="BL120" s="567"/>
      <c r="BM120" s="567"/>
      <c r="BN120" s="567"/>
      <c r="BO120" s="567"/>
      <c r="BP120" s="567"/>
      <c r="BQ120" s="567"/>
      <c r="BR120" s="567"/>
      <c r="BS120" s="567"/>
      <c r="BT120" s="567"/>
    </row>
    <row r="121" spans="1:72">
      <c r="A121" s="567"/>
      <c r="B121" s="567"/>
      <c r="C121" s="567"/>
      <c r="D121" s="567"/>
      <c r="E121" s="567"/>
      <c r="F121" s="567"/>
      <c r="G121" s="567"/>
      <c r="H121" s="567"/>
      <c r="I121" s="567"/>
      <c r="J121" s="567"/>
      <c r="K121" s="567"/>
      <c r="L121" s="567"/>
      <c r="M121" s="567"/>
      <c r="N121" s="567"/>
      <c r="O121" s="567"/>
      <c r="P121" s="567"/>
      <c r="Q121" s="567"/>
      <c r="R121" s="567"/>
      <c r="S121" s="567"/>
      <c r="T121" s="567"/>
      <c r="U121" s="567"/>
      <c r="V121" s="567"/>
      <c r="W121" s="567"/>
      <c r="X121" s="567"/>
      <c r="Y121" s="567"/>
      <c r="Z121" s="567"/>
      <c r="AA121" s="567"/>
      <c r="AB121" s="567"/>
      <c r="AC121" s="567"/>
      <c r="AD121" s="567"/>
      <c r="AE121" s="567"/>
      <c r="AF121" s="567"/>
      <c r="AG121" s="567"/>
      <c r="AH121" s="567"/>
      <c r="AI121" s="567"/>
      <c r="AJ121" s="567"/>
      <c r="AK121" s="567"/>
      <c r="AL121" s="567"/>
      <c r="AM121" s="567"/>
      <c r="AN121" s="567"/>
      <c r="AO121" s="567"/>
      <c r="AP121" s="567"/>
      <c r="AQ121" s="567"/>
      <c r="AR121" s="567"/>
      <c r="AS121" s="567"/>
      <c r="AT121" s="567"/>
      <c r="AU121" s="567"/>
      <c r="AV121" s="567"/>
      <c r="AW121" s="567"/>
      <c r="AX121" s="567"/>
      <c r="AY121" s="567"/>
      <c r="AZ121" s="567"/>
      <c r="BA121" s="567"/>
      <c r="BB121" s="567"/>
      <c r="BC121" s="567"/>
      <c r="BD121" s="567"/>
      <c r="BE121" s="567"/>
      <c r="BF121" s="567"/>
      <c r="BG121" s="567"/>
      <c r="BH121" s="567"/>
      <c r="BI121" s="567"/>
      <c r="BJ121" s="567"/>
      <c r="BK121" s="567"/>
      <c r="BL121" s="567"/>
      <c r="BM121" s="567"/>
      <c r="BN121" s="567"/>
      <c r="BO121" s="567"/>
      <c r="BP121" s="567"/>
      <c r="BQ121" s="567"/>
      <c r="BR121" s="567"/>
      <c r="BS121" s="567"/>
      <c r="BT121" s="567"/>
    </row>
    <row r="122" spans="1:72">
      <c r="A122" s="567"/>
      <c r="B122" s="567"/>
      <c r="C122" s="567"/>
      <c r="D122" s="567"/>
      <c r="E122" s="567"/>
      <c r="F122" s="567"/>
      <c r="G122" s="567"/>
      <c r="H122" s="567"/>
      <c r="I122" s="567"/>
      <c r="J122" s="567"/>
      <c r="K122" s="567"/>
      <c r="L122" s="567"/>
      <c r="M122" s="567"/>
      <c r="N122" s="567"/>
      <c r="O122" s="567"/>
      <c r="P122" s="567"/>
      <c r="Q122" s="567"/>
      <c r="R122" s="567"/>
      <c r="S122" s="567"/>
      <c r="T122" s="567"/>
      <c r="U122" s="567"/>
      <c r="V122" s="567"/>
      <c r="W122" s="567"/>
      <c r="X122" s="567"/>
      <c r="Y122" s="567"/>
      <c r="Z122" s="567"/>
      <c r="AA122" s="567"/>
      <c r="AB122" s="567"/>
      <c r="AC122" s="567"/>
      <c r="AD122" s="567"/>
      <c r="AE122" s="567"/>
      <c r="AF122" s="567"/>
      <c r="AG122" s="567"/>
      <c r="AH122" s="567"/>
      <c r="AI122" s="567"/>
      <c r="AJ122" s="567"/>
      <c r="AK122" s="567"/>
      <c r="AL122" s="567"/>
      <c r="AM122" s="567"/>
      <c r="AN122" s="567"/>
      <c r="AO122" s="567"/>
      <c r="AP122" s="567"/>
      <c r="AQ122" s="567"/>
      <c r="AR122" s="567"/>
      <c r="AS122" s="567"/>
      <c r="AT122" s="567"/>
      <c r="AU122" s="567"/>
      <c r="AV122" s="567"/>
      <c r="AW122" s="567"/>
      <c r="AX122" s="567"/>
      <c r="AY122" s="567"/>
      <c r="AZ122" s="567"/>
      <c r="BA122" s="567"/>
      <c r="BB122" s="567"/>
      <c r="BC122" s="567"/>
      <c r="BD122" s="567"/>
      <c r="BE122" s="567"/>
      <c r="BF122" s="567"/>
      <c r="BG122" s="567"/>
      <c r="BH122" s="567"/>
      <c r="BI122" s="567"/>
      <c r="BJ122" s="567"/>
      <c r="BK122" s="567"/>
      <c r="BL122" s="567"/>
      <c r="BM122" s="567"/>
      <c r="BN122" s="567"/>
      <c r="BO122" s="567"/>
      <c r="BP122" s="567"/>
      <c r="BQ122" s="567"/>
      <c r="BR122" s="567"/>
      <c r="BS122" s="567"/>
      <c r="BT122" s="567"/>
    </row>
    <row r="123" spans="1:72">
      <c r="A123" s="567"/>
      <c r="B123" s="567"/>
      <c r="C123" s="567"/>
      <c r="D123" s="567"/>
      <c r="E123" s="567"/>
      <c r="F123" s="567"/>
      <c r="G123" s="567"/>
      <c r="H123" s="567"/>
      <c r="I123" s="567"/>
      <c r="J123" s="567"/>
      <c r="K123" s="567"/>
      <c r="L123" s="567"/>
      <c r="M123" s="567"/>
      <c r="N123" s="567"/>
      <c r="O123" s="567"/>
      <c r="P123" s="567"/>
      <c r="Q123" s="567"/>
      <c r="R123" s="567"/>
      <c r="S123" s="567"/>
      <c r="T123" s="567"/>
      <c r="U123" s="567"/>
      <c r="V123" s="567"/>
      <c r="W123" s="567"/>
      <c r="X123" s="567"/>
      <c r="Y123" s="567"/>
      <c r="Z123" s="567"/>
      <c r="AA123" s="567"/>
      <c r="AB123" s="567"/>
      <c r="AC123" s="567"/>
      <c r="AD123" s="567"/>
      <c r="AE123" s="567"/>
      <c r="AF123" s="567"/>
      <c r="AG123" s="567"/>
      <c r="AH123" s="567"/>
      <c r="AI123" s="567"/>
      <c r="AJ123" s="567"/>
      <c r="AK123" s="567"/>
      <c r="AL123" s="567"/>
      <c r="AM123" s="567"/>
      <c r="AN123" s="567"/>
      <c r="AO123" s="567"/>
      <c r="AP123" s="567"/>
      <c r="AQ123" s="567"/>
      <c r="AR123" s="567"/>
      <c r="AS123" s="567"/>
      <c r="AT123" s="567"/>
      <c r="AU123" s="567"/>
      <c r="AV123" s="567"/>
      <c r="AW123" s="567"/>
      <c r="AX123" s="567"/>
      <c r="AY123" s="567"/>
      <c r="AZ123" s="567"/>
      <c r="BA123" s="567"/>
      <c r="BB123" s="567"/>
      <c r="BC123" s="567"/>
      <c r="BD123" s="567"/>
      <c r="BE123" s="567"/>
      <c r="BF123" s="567"/>
      <c r="BG123" s="567"/>
      <c r="BH123" s="567"/>
      <c r="BI123" s="567"/>
      <c r="BJ123" s="567"/>
      <c r="BK123" s="567"/>
      <c r="BL123" s="567"/>
      <c r="BM123" s="567"/>
      <c r="BN123" s="567"/>
      <c r="BO123" s="567"/>
      <c r="BP123" s="567"/>
      <c r="BQ123" s="567"/>
      <c r="BR123" s="567"/>
      <c r="BS123" s="567"/>
      <c r="BT123" s="567"/>
    </row>
  </sheetData>
  <pageMargins left="0.25" right="0.25" top="0.25" bottom="0.25" header="0.3" footer="0.3"/>
  <pageSetup scale="43" fitToHeight="0" orientation="landscape" horizontalDpi="1200" verticalDpi="12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002060"/>
  </sheetPr>
  <dimension ref="A3:L31"/>
  <sheetViews>
    <sheetView showGridLines="0" workbookViewId="0">
      <selection activeCell="E20" sqref="E20"/>
    </sheetView>
  </sheetViews>
  <sheetFormatPr defaultColWidth="9.1796875" defaultRowHeight="14"/>
  <cols>
    <col min="1" max="1" width="11.1796875" style="104" customWidth="1"/>
    <col min="2" max="2" width="4.54296875" style="104" customWidth="1"/>
    <col min="3" max="3" width="15" style="104" customWidth="1"/>
    <col min="4" max="4" width="26.54296875" style="104" customWidth="1"/>
    <col min="5" max="5" width="16.54296875" style="104" bestFit="1" customWidth="1"/>
    <col min="6" max="6" width="4.453125" style="104" customWidth="1"/>
    <col min="7" max="7" width="16.54296875" style="104" bestFit="1" customWidth="1"/>
    <col min="8" max="8" width="4.453125" style="104" customWidth="1"/>
    <col min="9" max="9" width="17" style="104" bestFit="1" customWidth="1"/>
    <col min="10" max="10" width="4.453125" style="104" customWidth="1"/>
    <col min="11" max="11" width="16.54296875" style="104" bestFit="1" customWidth="1"/>
    <col min="12" max="12" width="4.453125" style="104" customWidth="1"/>
    <col min="13" max="16384" width="9.1796875" style="104"/>
  </cols>
  <sheetData>
    <row r="3" spans="3:12" ht="14.5" thickBot="1">
      <c r="C3" s="567"/>
      <c r="D3" s="567"/>
      <c r="E3" s="567"/>
      <c r="F3" s="567"/>
      <c r="G3" s="567"/>
      <c r="H3" s="567"/>
      <c r="I3" s="567"/>
      <c r="J3" s="567"/>
      <c r="K3" s="567"/>
      <c r="L3" s="567"/>
    </row>
    <row r="4" spans="3:12" ht="13.5" customHeight="1" thickBot="1">
      <c r="C4" s="567"/>
      <c r="D4" s="779" t="s">
        <v>298</v>
      </c>
      <c r="E4" s="780"/>
      <c r="F4" s="780"/>
      <c r="G4" s="780"/>
      <c r="H4" s="780"/>
      <c r="I4" s="780"/>
      <c r="J4" s="780"/>
      <c r="K4" s="780"/>
      <c r="L4" s="781"/>
    </row>
    <row r="5" spans="3:12" ht="13.5" customHeight="1">
      <c r="C5" s="567"/>
      <c r="D5" s="671" t="s">
        <v>299</v>
      </c>
      <c r="E5" s="782" t="s">
        <v>300</v>
      </c>
      <c r="F5" s="783"/>
      <c r="G5" s="782" t="s">
        <v>301</v>
      </c>
      <c r="H5" s="783"/>
      <c r="I5" s="784" t="s">
        <v>302</v>
      </c>
      <c r="J5" s="785"/>
      <c r="K5" s="784" t="s">
        <v>303</v>
      </c>
      <c r="L5" s="785"/>
    </row>
    <row r="6" spans="3:12" ht="13.5" customHeight="1">
      <c r="C6" s="567"/>
      <c r="D6" s="95" t="s">
        <v>304</v>
      </c>
      <c r="E6" s="96" t="s">
        <v>305</v>
      </c>
      <c r="F6" s="97" t="str">
        <f>IF($E$17&gt;30000,"X"," ")</f>
        <v>X</v>
      </c>
      <c r="G6" s="96" t="s">
        <v>306</v>
      </c>
      <c r="H6" s="97" t="str">
        <f>IF(AND(15000&lt;$E$17,$E$17&lt;=30000),"X"," ")</f>
        <v xml:space="preserve"> </v>
      </c>
      <c r="I6" s="96" t="s">
        <v>307</v>
      </c>
      <c r="J6" s="97" t="str">
        <f>IF(AND(7500&lt;$E$17,$E$17&lt;=15000),"X"," ")</f>
        <v xml:space="preserve"> </v>
      </c>
      <c r="K6" s="96" t="s">
        <v>308</v>
      </c>
      <c r="L6" s="97" t="str">
        <f>IF($E$17&lt;7500,"X"," ")</f>
        <v xml:space="preserve"> </v>
      </c>
    </row>
    <row r="7" spans="3:12" ht="13.5" customHeight="1">
      <c r="C7" s="567"/>
      <c r="D7" s="95" t="s">
        <v>309</v>
      </c>
      <c r="E7" s="96" t="s">
        <v>310</v>
      </c>
      <c r="F7" s="97" t="str">
        <f>IF($E$18&gt;400,"X"," ")</f>
        <v>X</v>
      </c>
      <c r="G7" s="96" t="s">
        <v>311</v>
      </c>
      <c r="H7" s="97" t="str">
        <f>IF(AND(200&lt;$E$18, $E$18&lt;=400),"X"," ")</f>
        <v xml:space="preserve"> </v>
      </c>
      <c r="I7" s="96" t="s">
        <v>312</v>
      </c>
      <c r="J7" s="97" t="str">
        <f>IF(AND(50&lt;$E$18, $E$18&lt;=200),"X"," ")</f>
        <v xml:space="preserve"> </v>
      </c>
      <c r="K7" s="96" t="s">
        <v>313</v>
      </c>
      <c r="L7" s="97" t="str">
        <f>IF(50&gt;$E$18,"X"," ")</f>
        <v xml:space="preserve"> </v>
      </c>
    </row>
    <row r="8" spans="3:12" ht="13.5" customHeight="1">
      <c r="C8" s="567"/>
      <c r="D8" s="95" t="s">
        <v>314</v>
      </c>
      <c r="E8" s="96" t="s">
        <v>315</v>
      </c>
      <c r="F8" s="97" t="str">
        <f>IF($E$19&lt;2,"X"," ")</f>
        <v>X</v>
      </c>
      <c r="G8" s="96" t="s">
        <v>316</v>
      </c>
      <c r="H8" s="97" t="str">
        <f>IF(AND(2&lt;$E$19,$E$19&lt;=3.5),"X"," ")</f>
        <v xml:space="preserve"> </v>
      </c>
      <c r="I8" s="96" t="s">
        <v>317</v>
      </c>
      <c r="J8" s="97" t="str">
        <f>IF(AND(3.5&lt;$E$19,$E$19&lt;=4.5),"X"," ")</f>
        <v xml:space="preserve"> </v>
      </c>
      <c r="K8" s="96" t="s">
        <v>318</v>
      </c>
      <c r="L8" s="97" t="str">
        <f>IF($E$19&gt;4.5,"X"," ")</f>
        <v xml:space="preserve"> </v>
      </c>
    </row>
    <row r="9" spans="3:12" ht="13.5" customHeight="1">
      <c r="C9" s="567"/>
      <c r="D9" s="98" t="s">
        <v>319</v>
      </c>
      <c r="E9" s="99" t="s">
        <v>320</v>
      </c>
      <c r="F9" s="100" t="str">
        <f>IF($E$20&lt;0.3,"X"," ")</f>
        <v>X</v>
      </c>
      <c r="G9" s="99" t="s">
        <v>321</v>
      </c>
      <c r="H9" s="100" t="str">
        <f>IF(AND($E$20&lt;0.35,$E$20&gt;0.3),"X"," ")</f>
        <v xml:space="preserve"> </v>
      </c>
      <c r="I9" s="99" t="s">
        <v>322</v>
      </c>
      <c r="J9" s="100" t="str">
        <f>IF(AND($E$20&lt;0.45,$E$20&gt;0.35),"X"," ")</f>
        <v xml:space="preserve"> </v>
      </c>
      <c r="K9" s="99" t="s">
        <v>323</v>
      </c>
      <c r="L9" s="100" t="str">
        <f>IF($E$20&gt;0.45,"X"," ")</f>
        <v xml:space="preserve"> </v>
      </c>
    </row>
    <row r="10" spans="3:12" ht="13.5" customHeight="1">
      <c r="C10" s="567"/>
      <c r="D10" s="98" t="s">
        <v>324</v>
      </c>
      <c r="E10" s="101" t="s">
        <v>325</v>
      </c>
      <c r="F10" s="100" t="str">
        <f>IF($G$21&gt;9,"X"," ")</f>
        <v xml:space="preserve"> </v>
      </c>
      <c r="G10" s="101" t="s">
        <v>326</v>
      </c>
      <c r="H10" s="100" t="str">
        <f>IF(AND($G$21&gt;7,9&gt;=$G$21),"X"," ")</f>
        <v xml:space="preserve"> </v>
      </c>
      <c r="I10" s="101" t="s">
        <v>327</v>
      </c>
      <c r="J10" s="100" t="str">
        <f>IF(AND($G$21&gt;5,7&gt;=$G$21),"X"," ")</f>
        <v xml:space="preserve"> </v>
      </c>
      <c r="K10" s="101" t="s">
        <v>328</v>
      </c>
      <c r="L10" s="100" t="str">
        <f>IF(AND($G$21&lt;5),"X"," ")</f>
        <v>X</v>
      </c>
    </row>
    <row r="11" spans="3:12" ht="13.5" customHeight="1" thickBot="1">
      <c r="C11" s="567"/>
      <c r="D11" s="190" t="s">
        <v>329</v>
      </c>
      <c r="E11" s="191" t="s">
        <v>330</v>
      </c>
      <c r="F11" s="537" t="str">
        <f ca="1">IF(YEAR(TODAY())-$E$22&gt;15,"X"," ")</f>
        <v>X</v>
      </c>
      <c r="G11" s="191" t="s">
        <v>331</v>
      </c>
      <c r="H11" s="537" t="str">
        <f ca="1">IF(AND(YEAR(TODAY())-$E$22&gt;7,YEAR(TODAY())-$E$22&lt;=15),"X"," ")</f>
        <v xml:space="preserve"> </v>
      </c>
      <c r="I11" s="191" t="s">
        <v>332</v>
      </c>
      <c r="J11" s="537" t="str">
        <f ca="1">IF(AND(YEAR(TODAY())-$E$22&gt;3,YEAR(TODAY())-$E$22&lt;=7),"X"," ")</f>
        <v xml:space="preserve"> </v>
      </c>
      <c r="K11" s="191" t="s">
        <v>333</v>
      </c>
      <c r="L11" s="537" t="str">
        <f ca="1">IF(YEAR(TODAY())-$E$22&lt;=3,"X"," ")</f>
        <v xml:space="preserve"> </v>
      </c>
    </row>
    <row r="12" spans="3:12" ht="13.5" customHeight="1" thickBot="1">
      <c r="C12" s="567"/>
      <c r="D12" s="629" t="str">
        <f>IF(OR(Summary!C15="Revolving SPE A&amp;D",Summary!C15="SPE A&amp;D",Summary!C15="Non-Revolving SPE A&amp;D",Summary!C15="Nonrevolving SPE A&amp;D"),"SPE A&amp;D","")</f>
        <v/>
      </c>
      <c r="E12" s="308" t="s">
        <v>334</v>
      </c>
      <c r="F12" s="520" t="str">
        <f>IF(OR(AND(F6="x",F7="x",F8="x"),AND(F6="x",F7="x"),AND(F6="x",F8="x"),AND(F7="x",F8="x")),"X"," ")</f>
        <v>X</v>
      </c>
      <c r="G12" s="102"/>
      <c r="H12" s="454" t="str">
        <f>IF(OR(AND(H6="x",H7="x",H8="x"),AND(H6="x",H7="x"),AND(H6="x",H8="x"),AND(H7="x",H8="x")),"X"," ")</f>
        <v xml:space="preserve"> </v>
      </c>
      <c r="I12" s="103"/>
      <c r="J12" s="520" t="str">
        <f>IF(OR(AND(J6="x",J7="x",J8="x"),AND(J6="x",J7="x"),AND(J6="x",J8="x"),AND(J7="x",J8="x")),"X"," ")</f>
        <v xml:space="preserve"> </v>
      </c>
      <c r="K12" s="103"/>
      <c r="L12" s="521" t="str">
        <f>IF(OR(AND(L6="x",L7="x",L8="x"),AND(L6="x",L7="x"),AND(L6="x",L8="x"),AND(L7="x",L8="x")),"X"," ")</f>
        <v xml:space="preserve"> </v>
      </c>
    </row>
    <row r="16" spans="3:12">
      <c r="C16" s="173" t="s">
        <v>140</v>
      </c>
      <c r="D16" s="105" t="s">
        <v>299</v>
      </c>
      <c r="E16" s="173" t="s">
        <v>335</v>
      </c>
      <c r="F16" s="567"/>
      <c r="G16" s="567"/>
      <c r="H16" s="567"/>
      <c r="I16" s="567"/>
      <c r="J16" s="567"/>
      <c r="K16" s="567"/>
      <c r="L16" s="567"/>
    </row>
    <row r="17" spans="1:9">
      <c r="A17" s="567"/>
      <c r="B17" s="567"/>
      <c r="C17" s="194">
        <f>Summary!K2</f>
        <v>46112</v>
      </c>
      <c r="D17" s="174" t="s">
        <v>304</v>
      </c>
      <c r="E17" s="192">
        <f>Summary!F95</f>
        <v>2102414</v>
      </c>
      <c r="F17" s="567"/>
      <c r="G17" s="567"/>
      <c r="H17" s="567"/>
      <c r="I17" s="567"/>
    </row>
    <row r="18" spans="1:9">
      <c r="A18" s="567"/>
      <c r="B18" s="567"/>
      <c r="C18" s="194">
        <f>Summary!P2</f>
        <v>46112</v>
      </c>
      <c r="D18" s="174" t="s">
        <v>123</v>
      </c>
      <c r="E18" s="188">
        <f>INDEX(Inventory!$B$8:$ZZ$11,MATCH($D$18,Inventory!$B$8:$B$11,0),MATCH('Heat Map'!$C$18,Inventory!$B$8:$ZZ$8,0))</f>
        <v>4334</v>
      </c>
      <c r="F18" s="567"/>
      <c r="G18" s="567"/>
      <c r="H18" s="567"/>
      <c r="I18" s="567"/>
    </row>
    <row r="19" spans="1:9">
      <c r="A19" s="567"/>
      <c r="B19" s="567"/>
      <c r="C19" s="195">
        <f>C17</f>
        <v>46112</v>
      </c>
      <c r="D19" s="174" t="s">
        <v>314</v>
      </c>
      <c r="E19" s="193">
        <f>Summary!F94/Summary!F95</f>
        <v>0.90740976800953566</v>
      </c>
      <c r="F19" s="567"/>
      <c r="G19" s="567"/>
      <c r="H19" s="567"/>
      <c r="I19" s="567"/>
    </row>
    <row r="20" spans="1:9">
      <c r="A20" s="567"/>
      <c r="B20" s="567"/>
      <c r="C20" s="195">
        <f>C17</f>
        <v>46112</v>
      </c>
      <c r="D20" s="174" t="s">
        <v>239</v>
      </c>
      <c r="E20" s="189">
        <f>INDEX('Balance Sheet'!$B$17:$ZZ$24,MATCH('Heat Map'!D20,'Balance Sheet'!$B$17:$B$24,0),MATCH('Heat Map'!$C$20,'Balance Sheet'!$B17:$ZZ17,0))</f>
        <v>0</v>
      </c>
      <c r="F20" s="567"/>
      <c r="G20" s="567" t="s">
        <v>119</v>
      </c>
      <c r="H20" s="567"/>
      <c r="I20" s="624" t="str">
        <f>'Balance Sheet'!B4</f>
        <v>Cash &amp; Equivalent</v>
      </c>
    </row>
    <row r="21" spans="1:9">
      <c r="A21" s="567" t="s">
        <v>227</v>
      </c>
      <c r="B21" s="567"/>
      <c r="C21" s="195">
        <f>C19</f>
        <v>46112</v>
      </c>
      <c r="D21" s="174" t="s">
        <v>253</v>
      </c>
      <c r="E21" s="189">
        <f>INDEX('Balance Sheet'!$B$3:$ZZ$13,MATCH('Heat Map'!$I$20,'Balance Sheet'!$B$3:$B$13,0),MATCH('Heat Map'!$C$21,'Balance Sheet'!$B$3:$ZZ$3,0))/INDEX('Balance Sheet'!$B$3:$ZZ$13,MATCH('Heat Map'!$A$21,'Balance Sheet'!$B$3:$B$13,0),MATCH('Heat Map'!$C$21,'Balance Sheet'!$B$3:$ZZ$3,0))</f>
        <v>1.5176432889918495E-2</v>
      </c>
      <c r="F21" s="567"/>
      <c r="G21" s="197">
        <f>I21/((INDEX('Income Stmt'!$B$22:$ZZ$29,MATCH('Heat Map'!$G$20,'Income Stmt'!$B$22:$B$29,0),MATCH('Heat Map'!$C$21,'Income Stmt'!$B$22:$ZZ$22,0))/12))</f>
        <v>2.8009833663806827</v>
      </c>
      <c r="H21" s="567"/>
      <c r="I21" s="192">
        <f>INDEX('Balance Sheet'!$B$3:$ZZ$13,MATCH('Heat Map'!$I$20,'Balance Sheet'!$B$3:$B$13,0),MATCH('Heat Map'!$C$21,'Balance Sheet'!$B$3:$ZZ$3,0))</f>
        <v>60860</v>
      </c>
    </row>
    <row r="22" spans="1:9">
      <c r="A22" s="567"/>
      <c r="B22" s="567"/>
      <c r="C22" s="196"/>
      <c r="D22" s="174" t="s">
        <v>336</v>
      </c>
      <c r="E22" s="188">
        <f>Summary!F9</f>
        <v>2003</v>
      </c>
      <c r="F22" s="567"/>
      <c r="G22" s="625"/>
      <c r="H22" s="567"/>
      <c r="I22" s="567"/>
    </row>
    <row r="29" spans="1:9">
      <c r="A29" s="567"/>
      <c r="B29" s="567"/>
      <c r="C29" s="567"/>
      <c r="D29" s="567"/>
      <c r="E29" s="567"/>
      <c r="F29" s="567"/>
      <c r="G29" s="567"/>
      <c r="H29" s="567"/>
      <c r="I29" s="626"/>
    </row>
    <row r="31" spans="1:9">
      <c r="A31" s="567"/>
      <c r="B31" s="567"/>
      <c r="C31" s="567"/>
      <c r="D31" s="567"/>
      <c r="E31" s="567"/>
      <c r="F31" s="567"/>
      <c r="G31" s="567"/>
      <c r="H31" s="567"/>
      <c r="I31" s="627"/>
    </row>
  </sheetData>
  <mergeCells count="5">
    <mergeCell ref="D4:L4"/>
    <mergeCell ref="E5:F5"/>
    <mergeCell ref="G5:H5"/>
    <mergeCell ref="I5:J5"/>
    <mergeCell ref="K5:L5"/>
  </mergeCells>
  <conditionalFormatting sqref="F12">
    <cfRule type="containsText" dxfId="4" priority="4" operator="containsText" text="x">
      <formula>NOT(ISERROR(SEARCH("x",F12)))</formula>
    </cfRule>
  </conditionalFormatting>
  <conditionalFormatting sqref="H12">
    <cfRule type="containsText" dxfId="3" priority="3" operator="containsText" text="x">
      <formula>NOT(ISERROR(SEARCH("x",H12)))</formula>
    </cfRule>
  </conditionalFormatting>
  <conditionalFormatting sqref="J12">
    <cfRule type="containsText" dxfId="2" priority="2" operator="containsText" text="x">
      <formula>NOT(ISERROR(SEARCH("x",J12)))</formula>
    </cfRule>
  </conditionalFormatting>
  <conditionalFormatting sqref="L12">
    <cfRule type="containsText" dxfId="1" priority="1" operator="containsText" text="x">
      <formula>NOT(ISERROR(SEARCH("x",L12)))</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showGridLines="0" workbookViewId="0">
      <selection activeCell="P6" sqref="P6"/>
    </sheetView>
  </sheetViews>
  <sheetFormatPr defaultRowHeight="14.5"/>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E123C0C4902E4EAED68C6477E858A4" ma:contentTypeVersion="22" ma:contentTypeDescription="Create a new document." ma:contentTypeScope="" ma:versionID="5453135057bba1f4d9cbb3dce89d88d0">
  <xsd:schema xmlns:xsd="http://www.w3.org/2001/XMLSchema" xmlns:xs="http://www.w3.org/2001/XMLSchema" xmlns:p="http://schemas.microsoft.com/office/2006/metadata/properties" xmlns:ns1="http://schemas.microsoft.com/sharepoint/v3" xmlns:ns2="c8adaf15-6ce0-4280-b696-b34d4fced46a" xmlns:ns3="7964f9a0-c2fe-422d-af5a-b50d517ac817" targetNamespace="http://schemas.microsoft.com/office/2006/metadata/properties" ma:root="true" ma:fieldsID="52fdbc3e4f6642484b385c7707939b2c" ns1:_="" ns2:_="" ns3:_="">
    <xsd:import namespace="http://schemas.microsoft.com/sharepoint/v3"/>
    <xsd:import namespace="c8adaf15-6ce0-4280-b696-b34d4fced46a"/>
    <xsd:import namespace="7964f9a0-c2fe-422d-af5a-b50d517ac8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ActiveBorrower" minOccurs="0"/>
                <xsd:element ref="ns1:_ip_UnifiedCompliancePolicyProperties" minOccurs="0"/>
                <xsd:element ref="ns1:_ip_UnifiedCompliancePolicyUIAction" minOccurs="0"/>
                <xsd:element ref="ns2:Fil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adaf15-6ce0-4280-b696-b34d4fced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e73ff9f-0667-4047-9205-333eea06853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ActiveBorrower" ma:index="22" nillable="true" ma:displayName="Active" ma:default="1" ma:format="Dropdown" ma:internalName="ActiveBorrower">
      <xsd:simpleType>
        <xsd:restriction base="dms:Boolean"/>
      </xsd:simpleType>
    </xsd:element>
    <xsd:element name="FileCount" ma:index="25" nillable="true" ma:displayName="File Count" ma:format="Dropdown" ma:internalName="FileCou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7964f9a0-c2fe-422d-af5a-b50d517ac8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a2c45be-bd31-46a0-90f9-a90022179f76}" ma:internalName="TaxCatchAll" ma:showField="CatchAllData" ma:web="7964f9a0-c2fe-422d-af5a-b50d517ac8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964f9a0-c2fe-422d-af5a-b50d517ac817" xsi:nil="true"/>
    <lcf76f155ced4ddcb4097134ff3c332f xmlns="c8adaf15-6ce0-4280-b696-b34d4fced46a">
      <Terms xmlns="http://schemas.microsoft.com/office/infopath/2007/PartnerControls"/>
    </lcf76f155ced4ddcb4097134ff3c332f>
    <ActiveBorrower xmlns="c8adaf15-6ce0-4280-b696-b34d4fced46a">true</ActiveBorrower>
    <_ip_UnifiedCompliancePolicyUIAction xmlns="http://schemas.microsoft.com/sharepoint/v3" xsi:nil="true"/>
    <_ip_UnifiedCompliancePolicyProperties xmlns="http://schemas.microsoft.com/sharepoint/v3" xsi:nil="true"/>
    <FileCount xmlns="c8adaf15-6ce0-4280-b696-b34d4fced46a" xsi:nil="true"/>
  </documentManagement>
</p:properties>
</file>

<file path=customXml/itemProps1.xml><?xml version="1.0" encoding="utf-8"?>
<ds:datastoreItem xmlns:ds="http://schemas.openxmlformats.org/officeDocument/2006/customXml" ds:itemID="{610CC369-D8AB-4CAB-98E5-891E104D8924}">
  <ds:schemaRefs>
    <ds:schemaRef ds:uri="http://schemas.microsoft.com/sharepoint/v3/contenttype/forms"/>
  </ds:schemaRefs>
</ds:datastoreItem>
</file>

<file path=customXml/itemProps2.xml><?xml version="1.0" encoding="utf-8"?>
<ds:datastoreItem xmlns:ds="http://schemas.openxmlformats.org/officeDocument/2006/customXml" ds:itemID="{AD2784C5-FDED-4B7E-B87A-AE84426D8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8adaf15-6ce0-4280-b696-b34d4fced46a"/>
    <ds:schemaRef ds:uri="7964f9a0-c2fe-422d-af5a-b50d517ac8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873586-4EFF-47A5-9420-098F72D6B715}">
  <ds:schemaRef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purl.org/dc/elements/1.1/"/>
    <ds:schemaRef ds:uri="7964f9a0-c2fe-422d-af5a-b50d517ac817"/>
    <ds:schemaRef ds:uri="http://schemas.microsoft.com/office/infopath/2007/PartnerControls"/>
    <ds:schemaRef ds:uri="c8adaf15-6ce0-4280-b696-b34d4fced46a"/>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Summary</vt:lpstr>
      <vt:lpstr>Update Monthly &gt;&gt;</vt:lpstr>
      <vt:lpstr>Tracking &amp; Banking</vt:lpstr>
      <vt:lpstr>Inventory</vt:lpstr>
      <vt:lpstr>Income Stmt</vt:lpstr>
      <vt:lpstr>Balance Sheet</vt:lpstr>
      <vt:lpstr>Covenants</vt:lpstr>
      <vt:lpstr>Heat Map</vt:lpstr>
      <vt:lpstr>&gt;&gt;</vt:lpstr>
      <vt:lpstr>Budget</vt:lpstr>
      <vt:lpstr>Graph Support</vt:lpstr>
      <vt:lpstr>Quarterly PR</vt:lpstr>
      <vt:lpstr>Lists</vt:lpstr>
      <vt:lpstr>Ratio Analysis</vt:lpstr>
      <vt:lpstr>Summary!Print_Area</vt:lpstr>
    </vt:vector>
  </TitlesOfParts>
  <Manager/>
  <Company>Lender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Connor Kane</dc:creator>
  <cp:keywords/>
  <dc:description/>
  <cp:lastModifiedBy>Rohail Abid</cp:lastModifiedBy>
  <cp:revision/>
  <dcterms:created xsi:type="dcterms:W3CDTF">2018-02-02T17:23:46Z</dcterms:created>
  <dcterms:modified xsi:type="dcterms:W3CDTF">2026-08-21T15:22:51Z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0x0101001DE123C0C4902E4EAED68C6477E858A4</vt:lpwstr>
  </property>
  <property fmtid="{D5CDD505-2E9C-101B-9397-08002B2CF9AE}" pid="3" name="Order">
    <vt:r8>100</vt:r8>
  </property>
  <property fmtid="{D5CDD505-2E9C-101B-9397-08002B2CF9AE}" pid="4" name="MediaServiceImageTags">
    <vt:lpwstr/>
  </property>
  <property fmtid="{D5CDD505-2E9C-101B-9397-08002B2CF9AE}" pid="5" name="MSIP_Label_10905048-5392-4768-be34-9ae9e72f2e61_Enabled">
    <vt:lpwstr>true</vt:lpwstr>
  </property>
  <property fmtid="{D5CDD505-2E9C-101B-9397-08002B2CF9AE}" pid="6" name="MSIP_Label_10905048-5392-4768-be34-9ae9e72f2e61_SetDate">
    <vt:lpwstr>2025-06-02T15:51:35Z</vt:lpwstr>
  </property>
  <property fmtid="{D5CDD505-2E9C-101B-9397-08002B2CF9AE}" pid="7" name="MSIP_Label_10905048-5392-4768-be34-9ae9e72f2e61_Method">
    <vt:lpwstr>Standard</vt:lpwstr>
  </property>
  <property fmtid="{D5CDD505-2E9C-101B-9397-08002B2CF9AE}" pid="8" name="MSIP_Label_10905048-5392-4768-be34-9ae9e72f2e61_Name">
    <vt:lpwstr>Public</vt:lpwstr>
  </property>
  <property fmtid="{D5CDD505-2E9C-101B-9397-08002B2CF9AE}" pid="9" name="MSIP_Label_10905048-5392-4768-be34-9ae9e72f2e61_SiteId">
    <vt:lpwstr>97730094-151b-4438-a840-84762ef0cdae</vt:lpwstr>
  </property>
  <property fmtid="{D5CDD505-2E9C-101B-9397-08002B2CF9AE}" pid="10" name="MSIP_Label_10905048-5392-4768-be34-9ae9e72f2e61_ActionId">
    <vt:lpwstr>3aa0341b-44c6-4fb4-ae75-13b1ce5d1f00</vt:lpwstr>
  </property>
  <property fmtid="{D5CDD505-2E9C-101B-9397-08002B2CF9AE}" pid="11" name="MSIP_Label_10905048-5392-4768-be34-9ae9e72f2e61_ContentBits">
    <vt:lpwstr>0</vt:lpwstr>
  </property>
  <property fmtid="{D5CDD505-2E9C-101B-9397-08002B2CF9AE}" pid="12" name="MSIP_Label_10905048-5392-4768-be34-9ae9e72f2e61_Tag">
    <vt:lpwstr>10, 3, 0, 2</vt:lpwstr>
  </property>
</Properties>
</file>